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ercizi" sheetId="1" r:id="rId4"/>
    <sheet state="visible" name="diagramma" sheetId="2" r:id="rId5"/>
    <sheet state="visible" name="climatizzatore" sheetId="3" r:id="rId6"/>
    <sheet state="visible" name="aereotermo" sheetId="4" r:id="rId7"/>
    <sheet state="visible" name="BF batteria" sheetId="5" r:id="rId8"/>
    <sheet state="visible" name="umidificatore" sheetId="6" r:id="rId9"/>
  </sheets>
  <definedNames/>
  <calcPr/>
</workbook>
</file>

<file path=xl/sharedStrings.xml><?xml version="1.0" encoding="utf-8"?>
<sst xmlns="http://schemas.openxmlformats.org/spreadsheetml/2006/main" count="534" uniqueCount="271">
  <si>
    <t>ESERCIZI ARIA UMIDA SI</t>
  </si>
  <si>
    <t>Trovare tutte le caratteristiche igrometriche dell'aria alla T 20°C con UR 50%</t>
  </si>
  <si>
    <t>Calcolare l'entalpia di 1 Kg di aria a 20°C  e  x=10 g/kg  (assumere h=0 a 0°C)</t>
  </si>
  <si>
    <t>T</t>
  </si>
  <si>
    <t>°C</t>
  </si>
  <si>
    <t>x</t>
  </si>
  <si>
    <t>Kgv/Kg a.s</t>
  </si>
  <si>
    <t>cp aria</t>
  </si>
  <si>
    <t>KJ/kg K</t>
  </si>
  <si>
    <t>calore specifico aria a p cost</t>
  </si>
  <si>
    <t>r latente</t>
  </si>
  <si>
    <t>KJ / Kg</t>
  </si>
  <si>
    <t>calore latente di vaporizzazione</t>
  </si>
  <si>
    <t>cp vap</t>
  </si>
  <si>
    <t>Kj / Kg k</t>
  </si>
  <si>
    <t>calore specifico del vapore p cost</t>
  </si>
  <si>
    <t>Qs</t>
  </si>
  <si>
    <t>KJ</t>
  </si>
  <si>
    <t>sensibile</t>
  </si>
  <si>
    <t>Ql</t>
  </si>
  <si>
    <t>Kj</t>
  </si>
  <si>
    <t>latente</t>
  </si>
  <si>
    <t>la quota (cp_vap *DT)</t>
  </si>
  <si>
    <t>è trascurabile</t>
  </si>
  <si>
    <t>Qtot</t>
  </si>
  <si>
    <t>Kcal</t>
  </si>
  <si>
    <t>Dal diagramma psicrometrico</t>
  </si>
  <si>
    <t>Serbatoio chiuso contiene 100 Kg aria secca e 1 Kg di vapore alla patm.</t>
  </si>
  <si>
    <t>La temperatura interna è di 25°C mentre all'esterno T=10°C</t>
  </si>
  <si>
    <t>Trovare tutte le caratteristiche dell'aria interna su diagramma psi.</t>
  </si>
  <si>
    <t>Cosa succede sulla parete esterna del serbatoio?</t>
  </si>
  <si>
    <t>Si trova umidita specifica x</t>
  </si>
  <si>
    <t>g/Kg as</t>
  </si>
  <si>
    <t>Nota T e x dal diagramma si ricavano le altre grandezze.</t>
  </si>
  <si>
    <t>Le pareti si trovano a una T&lt; Trugiada di 14° quindi si ha formazione di condensa.</t>
  </si>
  <si>
    <t>Trovare le condizioni di aria ottenuta miscelando le seguenti portate</t>
  </si>
  <si>
    <t>A</t>
  </si>
  <si>
    <t>4000 m3/h</t>
  </si>
  <si>
    <t>25 °C</t>
  </si>
  <si>
    <t>B</t>
  </si>
  <si>
    <t>2000 m3/h</t>
  </si>
  <si>
    <t>35°C</t>
  </si>
  <si>
    <t>20 °C</t>
  </si>
  <si>
    <t>5°C</t>
  </si>
  <si>
    <t>Una massa di 100 Kg as contenente 1Kg di vapore deve essere scaldata da 10 a 40°C a x costante.</t>
  </si>
  <si>
    <t>Trovare il calore necessario</t>
  </si>
  <si>
    <t>m aria</t>
  </si>
  <si>
    <t>Kg</t>
  </si>
  <si>
    <t>salto T</t>
  </si>
  <si>
    <t>m vap</t>
  </si>
  <si>
    <t>g</t>
  </si>
  <si>
    <t>Kj/kg k</t>
  </si>
  <si>
    <t>Sul diagramma si traccia retta passante per condzioni ambiente e si trova il Dh</t>
  </si>
  <si>
    <t>Una massa di 100 Kg as contenente 1Kg di vapore a 40°C riceve 9 g/Kg as di vapore a T costante.</t>
  </si>
  <si>
    <t>Trovare il calore assorbito dall'aria</t>
  </si>
  <si>
    <t>r vap</t>
  </si>
  <si>
    <t>Kj / Kg</t>
  </si>
  <si>
    <t>calore latente vaporizz.</t>
  </si>
  <si>
    <t>x iniziale</t>
  </si>
  <si>
    <r>
      <rPr>
        <rFont val="Symbol"/>
        <color rgb="FFFF0000"/>
        <sz val="11.0"/>
      </rPr>
      <t>D</t>
    </r>
    <r>
      <rPr>
        <rFont val="Calibri"/>
        <color rgb="FFFF0000"/>
        <sz val="11.0"/>
      </rPr>
      <t>x</t>
    </r>
  </si>
  <si>
    <t>x finale</t>
  </si>
  <si>
    <t>NB:  Dx in Kg / Kg as</t>
  </si>
  <si>
    <t>Sul diagramma si traccia retta verticale passante per condizioni iniziali e si trova punto finale</t>
  </si>
  <si>
    <t>Calcolare la potenza che una caldaia deve fornire a 3000 m3/h per portarla da A   B a x costante</t>
  </si>
  <si>
    <t>Valutare il costo termico giornaliero</t>
  </si>
  <si>
    <t>portata V</t>
  </si>
  <si>
    <t>m3/h</t>
  </si>
  <si>
    <t>UR</t>
  </si>
  <si>
    <t>densita</t>
  </si>
  <si>
    <t>Kh/m3</t>
  </si>
  <si>
    <t>m</t>
  </si>
  <si>
    <t>kg/h</t>
  </si>
  <si>
    <t>Kg/s</t>
  </si>
  <si>
    <t>Q</t>
  </si>
  <si>
    <t>Kw</t>
  </si>
  <si>
    <t>potenza della caldaia</t>
  </si>
  <si>
    <t>Energia</t>
  </si>
  <si>
    <t>Kwh</t>
  </si>
  <si>
    <t>Costo</t>
  </si>
  <si>
    <t>€</t>
  </si>
  <si>
    <t>costo costo termico 0,1 €/Kwh</t>
  </si>
  <si>
    <t>Sul diagramma psi si traccia retta orizzontale e si legge il Dh. La potenza sara  m x Dh</t>
  </si>
  <si>
    <t>Una batteria fredda ha una T in = 10°C e una Tout = 15°C. Trovare la T batteria</t>
  </si>
  <si>
    <t>Tin</t>
  </si>
  <si>
    <t>Tout</t>
  </si>
  <si>
    <t>Tbatt</t>
  </si>
  <si>
    <t>Una portata di 1000 m3/h di aria viene raffreddata da A a B. Trovare la potenza frigo e l'acqua condensata.</t>
  </si>
  <si>
    <t>Kg/m3</t>
  </si>
  <si>
    <t>Si traccia retta orizzontale su diagramma psi. Si trova il Dh dal diagramma</t>
  </si>
  <si>
    <r>
      <t>D</t>
    </r>
    <r>
      <rPr>
        <rFont val="Arial"/>
        <color theme="1"/>
        <sz val="11.0"/>
      </rPr>
      <t>h</t>
    </r>
  </si>
  <si>
    <t>Kg/h</t>
  </si>
  <si>
    <t>Potenza</t>
  </si>
  <si>
    <t>Il punto B ha una T&gt; T rugiada quindi non condensa acqua</t>
  </si>
  <si>
    <t>Una portata di 1000 m3/h di aria A viene raffreddata tramite una batteria fredda con BPF=0,04</t>
  </si>
  <si>
    <t>Trovare le condizioni dell'aria all'uscita della batteria fredda. La potenza frigo e l'acqua condensata.</t>
  </si>
  <si>
    <t>La portata di acqua fredda nella batteria</t>
  </si>
  <si>
    <t>Tin batt</t>
  </si>
  <si>
    <t>BPF</t>
  </si>
  <si>
    <t>Tout batt</t>
  </si>
  <si>
    <t>T batt</t>
  </si>
  <si>
    <t>portata bp</t>
  </si>
  <si>
    <t>portata raff</t>
  </si>
  <si>
    <t>Sul diagramma psicrometrico si traccia retta che passa per A e il punto B della batteria fredda</t>
  </si>
  <si>
    <t>individuato sulla curva di saturazione (UR 100%) allla Tbatteria</t>
  </si>
  <si>
    <t>Si trova il punto di miscelazione M sulla retta note le due portate in condizioni A e B</t>
  </si>
  <si>
    <t>Si trova la variazione di x fra A e M</t>
  </si>
  <si>
    <t>Si trova la variazione di h fra A e M</t>
  </si>
  <si>
    <t>L'acqua condensata sarà quindi</t>
  </si>
  <si>
    <t>La potenza frigorifera</t>
  </si>
  <si>
    <t>Portata acqua batteria</t>
  </si>
  <si>
    <t>Si vuole umidificare una portata di aria tramite un umidificatore ad acqua nebulizzata con eff 80%</t>
  </si>
  <si>
    <t>Trovare la portata di acqua da nebulizzare.</t>
  </si>
  <si>
    <t>efficienza</t>
  </si>
  <si>
    <t xml:space="preserve">La trasformazione è isoentapica. </t>
  </si>
  <si>
    <t>Si traccia la retta passante per A sul diagramma psi fino alla curva sat. In S</t>
  </si>
  <si>
    <t>Si trova il punto uscita aria B dall' umidificatore che si trova alla distanza pari a 80% di AS</t>
  </si>
  <si>
    <t>Dal diagramma si trova variazione umidità specifica tra A e B</t>
  </si>
  <si>
    <r>
      <rPr>
        <rFont val="Symbol"/>
        <color theme="1"/>
        <sz val="11.0"/>
      </rPr>
      <t>D</t>
    </r>
    <r>
      <rPr>
        <rFont val="Calibri"/>
        <color theme="1"/>
        <sz val="11.0"/>
      </rPr>
      <t>x</t>
    </r>
  </si>
  <si>
    <t>La portata di acqua assorbita dall'aria è quindi</t>
  </si>
  <si>
    <t>m H2O</t>
  </si>
  <si>
    <t>Si vuole umidificare con 13 Kg/h di vapore saturo a 100°C una portata di aria</t>
  </si>
  <si>
    <t>Trovare le condizioni aria all'uscita dell'umidificatore</t>
  </si>
  <si>
    <t>portata aria</t>
  </si>
  <si>
    <t>portata vap.</t>
  </si>
  <si>
    <t>Il vapore ha una entalpia</t>
  </si>
  <si>
    <t>KJ/kg</t>
  </si>
  <si>
    <t>KJ/g</t>
  </si>
  <si>
    <t xml:space="preserve">La massa di vapore fornisce all'aria con ISOTERMA una energia pari a </t>
  </si>
  <si>
    <t>Hv</t>
  </si>
  <si>
    <t>Kcal/h</t>
  </si>
  <si>
    <t>La portata di aria è</t>
  </si>
  <si>
    <t>Quindi l'aria riceve una energia dal vapore pari a</t>
  </si>
  <si>
    <r>
      <rPr>
        <rFont val="Symbol"/>
        <sz val="11.0"/>
      </rPr>
      <t>D</t>
    </r>
    <r>
      <rPr>
        <rFont val="Calibri"/>
        <sz val="11.0"/>
      </rPr>
      <t>h aria</t>
    </r>
  </si>
  <si>
    <t>KJ/ Kg</t>
  </si>
  <si>
    <t>Kcal / Kg</t>
  </si>
  <si>
    <t>Noto il delta h si traccia sul diagramma psicrometrico la retta isoterma passante per A fino ad arrivare al punto B</t>
  </si>
  <si>
    <t>25°C</t>
  </si>
  <si>
    <t>UR 67 %</t>
  </si>
  <si>
    <t>Oppure si ricava umidita specifica finale nota quella di A</t>
  </si>
  <si>
    <t xml:space="preserve">Ogni Kg di aria riceve una quantità di vapore </t>
  </si>
  <si>
    <t>g / Kg as</t>
  </si>
  <si>
    <t>x di B</t>
  </si>
  <si>
    <t>g/ Kg as</t>
  </si>
  <si>
    <t>Dal valore xB si traccia orizzontale su diagramma psi fino a trovare il punto B</t>
  </si>
  <si>
    <t>Si vuole umidificare con vapore saturo a 100°C una portata di aria fino a portarla alle condizioni B</t>
  </si>
  <si>
    <t>Trovare la porta di vapore da fornire all'umidificatore</t>
  </si>
  <si>
    <t>Sul diagramma psi si trovano i punti A e B e ricava la variazione x</t>
  </si>
  <si>
    <r>
      <rPr>
        <rFont val="Symbol"/>
        <sz val="11.0"/>
      </rPr>
      <t>D</t>
    </r>
    <r>
      <rPr>
        <rFont val="Calibri"/>
        <sz val="11.0"/>
      </rPr>
      <t>x aria</t>
    </r>
  </si>
  <si>
    <t>Calcolare il fattore di carico di un ambiente che ha</t>
  </si>
  <si>
    <t>NB: estate</t>
  </si>
  <si>
    <t>Fc</t>
  </si>
  <si>
    <t>NB: inverno</t>
  </si>
  <si>
    <t>Calcolare il fattore di carico di un ambiente in cui sono presenti in media 25 persone</t>
  </si>
  <si>
    <t>Calcolare potenza e portata d'aria a tutta aria esterna</t>
  </si>
  <si>
    <t>Qs persona</t>
  </si>
  <si>
    <t>w</t>
  </si>
  <si>
    <t>m vap persona</t>
  </si>
  <si>
    <t>g/h</t>
  </si>
  <si>
    <t>n persone</t>
  </si>
  <si>
    <t>A ambiente</t>
  </si>
  <si>
    <t>% UR</t>
  </si>
  <si>
    <t>Aria Rinnovo</t>
  </si>
  <si>
    <t>l/s</t>
  </si>
  <si>
    <t>Qs persone</t>
  </si>
  <si>
    <t>Ql una persona</t>
  </si>
  <si>
    <t>Qlatente tot</t>
  </si>
  <si>
    <t>Port. tot. rinnovo</t>
  </si>
  <si>
    <t>Q tot disperso</t>
  </si>
  <si>
    <t>m * Dh</t>
  </si>
  <si>
    <t>--&gt;</t>
  </si>
  <si>
    <t>Dh</t>
  </si>
  <si>
    <t>Con la portata minima di rinnovo ottengo una T imm di circa 55°C improponibile.</t>
  </si>
  <si>
    <t>Fisso quindi la T imm pari a 30 °C (DT di 10°C) con UR 25%. Ottengo un salto di entalpia</t>
  </si>
  <si>
    <t>KJ/ kg as</t>
  </si>
  <si>
    <t>Ql persona</t>
  </si>
  <si>
    <t>Q tot entrante</t>
  </si>
  <si>
    <t>= m * Dh</t>
  </si>
  <si>
    <t>Con la portata minima di rinnovo ottengo una T imm troppo bassa e quindi improponibile.</t>
  </si>
  <si>
    <t>Fisso la T imm pari a 15 °C (DT di 10°C) con UR 82%. Ottengo un salto di entalpia</t>
  </si>
  <si>
    <t>Un aereotermo tratta una portata di 250 m3/h di aria E che deve essere riscaldata fino ad A</t>
  </si>
  <si>
    <t>Individuare la trasformazione. La pressione pve, la x immessa, he e hi, Potenza e UR immessa</t>
  </si>
  <si>
    <t>E</t>
  </si>
  <si>
    <t>grado igrometrico</t>
  </si>
  <si>
    <t>Si tratta di un riscaldamento sensibile.</t>
  </si>
  <si>
    <t>L'umidità specifica aria interna sarà uguale a quella esterna:</t>
  </si>
  <si>
    <t>Kg v / Kg as</t>
  </si>
  <si>
    <t>g / Kg</t>
  </si>
  <si>
    <t>Dal diagramma psi sulla retta orizzontale per E si umidità specifica x imm circa 4.</t>
  </si>
  <si>
    <t>Le entalpie di possono trovare con le formule (NB x va messo in Kg / Kg)</t>
  </si>
  <si>
    <t>KJ / kg as</t>
  </si>
  <si>
    <t>Dal diagramma psi si tracciano le isoentalpiche per A e E e si trovano le entalpie.</t>
  </si>
  <si>
    <t>La potenza della batteria calda sarà</t>
  </si>
  <si>
    <t>o</t>
  </si>
  <si>
    <t>perché c'è solo calore sensibile</t>
  </si>
  <si>
    <t>Un condizionatore tipo split interno ha una potenza frigo di 12000 BTU/h.</t>
  </si>
  <si>
    <t>L'aria interna trattata si trova in condizioni I.</t>
  </si>
  <si>
    <t>Alla massima potenza la portata aspirata è di 11 m3/h.</t>
  </si>
  <si>
    <t>Trovare il tipo di trasfomazione, la pv imm, la x imm, himm, hi, xi</t>
  </si>
  <si>
    <t>la Timm e il volume di acqua condensato</t>
  </si>
  <si>
    <t>m3/min</t>
  </si>
  <si>
    <t>potenza</t>
  </si>
  <si>
    <t>btu/h</t>
  </si>
  <si>
    <t>Sicuramente si tratta di un raffreddamento ma a priori non è possibile dire</t>
  </si>
  <si>
    <t>se c'è o meno condensazione del vapore nell'aria</t>
  </si>
  <si>
    <t>Anche il diagramma psi non è di utilità perché non si sa nulla dell'uscita.</t>
  </si>
  <si>
    <t>Pa</t>
  </si>
  <si>
    <t>g v / Kg as</t>
  </si>
  <si>
    <t>L'entalpia è data da</t>
  </si>
  <si>
    <t>KJ/Kg as</t>
  </si>
  <si>
    <t>L'entalpia del punto di immissione è incognita perche non si conosce ximm e Timm</t>
  </si>
  <si>
    <t>Si può ricavare nota la potenza frigo fornita all'aria</t>
  </si>
  <si>
    <t>NB: Q è negativo (estratto dall'aria)</t>
  </si>
  <si>
    <t xml:space="preserve">Nota la h imm possiamo trovare il punto di immissione che necessariamente </t>
  </si>
  <si>
    <t>si deve trovare sulla curva di saturazione per raggiungiere il valore trovato di h imm</t>
  </si>
  <si>
    <t>Dal diagramma di ricava</t>
  </si>
  <si>
    <t>T imm</t>
  </si>
  <si>
    <t>Non è possibile trovare la T imm con formule poiché con conosciamo le pressioni di vapore.</t>
  </si>
  <si>
    <t>Sempre dal diagramma psi si ricava umidita specifica x imm</t>
  </si>
  <si>
    <t>gv / Kg as</t>
  </si>
  <si>
    <t>La condensa prodotta dal climatizzatore</t>
  </si>
  <si>
    <t>l/h</t>
  </si>
  <si>
    <t>x va messa in Kg v / K as</t>
  </si>
  <si>
    <t>Determinazione del fattore di by-pass di una batteria alettata</t>
  </si>
  <si>
    <t>Il fattore di by-pass di una batteria alettata dipende dalla geometria della batteria e dalla velocità dell’aria trattata.</t>
  </si>
  <si>
    <t>I parametri geometrici da cui il bpf dipende sono:</t>
  </si>
  <si>
    <t>Passo trasversale St (è la distanza tra due tubi adiacenti di uno stesso rango)</t>
  </si>
  <si>
    <t>Passo longitudinale Sl (è la distanza tra due ranghi adiacenti)</t>
  </si>
  <si>
    <t>Numero di alette per pollice</t>
  </si>
  <si>
    <t>Numero di ranghi</t>
  </si>
  <si>
    <t>St</t>
  </si>
  <si>
    <t>mm</t>
  </si>
  <si>
    <t>Sl</t>
  </si>
  <si>
    <t>vel. Aria</t>
  </si>
  <si>
    <t>m/s</t>
  </si>
  <si>
    <t>n° alette</t>
  </si>
  <si>
    <t>al pollice</t>
  </si>
  <si>
    <t>n° ranghi</t>
  </si>
  <si>
    <t>Si entra con la velocità aria in verticale fino</t>
  </si>
  <si>
    <t>a intersecare la retta con 14 alette / pollice.</t>
  </si>
  <si>
    <t>Si traccia la retta orizzontale fino a intersecare</t>
  </si>
  <si>
    <t>la curva dei 3 ranghi e si scende in verticale</t>
  </si>
  <si>
    <t>sull'asse x dove si trova il fattore BF</t>
  </si>
  <si>
    <t>BF</t>
  </si>
  <si>
    <t>Un umidifcatore ad acqua deve fornire all'aria 10 gv/ kg con efficienza 90%.</t>
  </si>
  <si>
    <t>L'aria in ingresso all'umidifcatore ha una umidita specifica di 3 gv/Kg.</t>
  </si>
  <si>
    <t>umidità x1 =</t>
  </si>
  <si>
    <t>Kg v / Kas</t>
  </si>
  <si>
    <t>Umidificazione con acqua</t>
  </si>
  <si>
    <t>Trattasi di una trasformazione adiabatica (isoentalpica)</t>
  </si>
  <si>
    <t>Essendo efficienza 90% aria in uscita l'aria avrà UR 90%.</t>
  </si>
  <si>
    <t>Non abbiamo dati a sufficienza per tracciare la retta</t>
  </si>
  <si>
    <t>della trasformazione sul diagramma psicrometrico.</t>
  </si>
  <si>
    <t>Uscita ha noto</t>
  </si>
  <si>
    <t>UR2</t>
  </si>
  <si>
    <t>x2</t>
  </si>
  <si>
    <t>La T2 è uguale alla T di saturazione alla pv sat2 (punto blu)</t>
  </si>
  <si>
    <t>L'entalpia posseduta dall'aria in uscita h2</t>
  </si>
  <si>
    <t>KJ / Kgas</t>
  </si>
  <si>
    <t>Nota entalpia h2=h1 (adiabatica) posso trovare la T1</t>
  </si>
  <si>
    <t>A questo punto si può tracciare la trasformazione</t>
  </si>
  <si>
    <t>sul diagramma psicrometrico noto ingresso</t>
  </si>
  <si>
    <t>Per calcolare umidità relativa all'ingresso serve la pv sat A1</t>
  </si>
  <si>
    <t>% umidita relativa</t>
  </si>
  <si>
    <t>Umidificazione con vapore saturo 100°C</t>
  </si>
  <si>
    <t>Il punto di uscita dell'aria è gia stato calcolato nel caso sopra.</t>
  </si>
  <si>
    <t>Essendo in questo caso la trasformazione approssimabile ad una isoterma</t>
  </si>
  <si>
    <t>T1= T2</t>
  </si>
  <si>
    <t>calcolata in precedenza</t>
  </si>
  <si>
    <t xml:space="preserve">Sappiamo inoltre ch, essendo T costante, </t>
  </si>
  <si>
    <t>Qundi</t>
  </si>
  <si>
    <t>Quindi l'aria in ingresso all'umidicatore a vapore ha condizioni molto diverse da quello ad acqua.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</si>
</sst>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"/>
    <numFmt numFmtId="165" formatCode="0.0"/>
    <numFmt numFmtId="166" formatCode="0.000000"/>
    <numFmt numFmtId="167" formatCode="0.0000"/>
  </numFmts>
  <fonts count="15">
    <font>
      <sz val="11.0"/>
      <color theme="1"/>
      <name val="Arial"/>
    </font>
    <font>
      <b/>
      <sz val="11.0"/>
      <color theme="1"/>
      <name val="Calibri"/>
    </font>
    <font>
      <sz val="11.0"/>
      <color rgb="FFFF0000"/>
      <name val="Calibri"/>
    </font>
    <font>
      <sz val="11.0"/>
      <color theme="1"/>
      <name val="Calibri"/>
    </font>
    <font>
      <color theme="1"/>
      <name val="Calibri"/>
    </font>
    <font>
      <sz val="11.0"/>
      <color theme="1"/>
      <name val="Noto Sans Symbols"/>
    </font>
    <font>
      <sz val="11.0"/>
      <color rgb="FFFF0000"/>
    </font>
    <font>
      <color rgb="FFFF0000"/>
      <name val="Calibri"/>
    </font>
    <font/>
    <font>
      <sz val="11.0"/>
      <color theme="1"/>
    </font>
    <font>
      <color rgb="FFFF0000"/>
    </font>
    <font>
      <i/>
      <sz val="10.0"/>
      <color theme="1"/>
      <name val="Calibri"/>
    </font>
    <font>
      <b/>
      <sz val="12.0"/>
      <color theme="1"/>
      <name val="Calibri"/>
    </font>
    <font>
      <b/>
      <color theme="1"/>
      <name val="Calibri"/>
    </font>
    <font>
      <b/>
      <i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2" xfId="0" applyFont="1" applyNumberFormat="1"/>
    <xf borderId="0" fillId="0" fontId="2" numFmtId="164" xfId="0" applyFont="1" applyNumberFormat="1"/>
    <xf borderId="0" fillId="0" fontId="2" numFmtId="1" xfId="0" applyFont="1" applyNumberFormat="1"/>
    <xf borderId="0" fillId="0" fontId="3" numFmtId="2" xfId="0" applyFont="1" applyNumberFormat="1"/>
    <xf borderId="0" fillId="0" fontId="4" numFmtId="0" xfId="0" applyFont="1"/>
    <xf borderId="0" fillId="0" fontId="2" numFmtId="9" xfId="0" applyFont="1" applyNumberFormat="1"/>
    <xf borderId="0" fillId="0" fontId="5" numFmtId="0" xfId="0" applyFont="1"/>
    <xf borderId="0" fillId="0" fontId="3" numFmtId="165" xfId="0" applyFont="1" applyNumberFormat="1"/>
    <xf borderId="0" fillId="0" fontId="4" numFmtId="2" xfId="0" applyFont="1" applyNumberFormat="1"/>
    <xf borderId="0" fillId="0" fontId="3" numFmtId="0" xfId="0" applyFont="1"/>
    <xf borderId="0" fillId="0" fontId="3" numFmtId="1" xfId="0" applyFont="1" applyNumberFormat="1"/>
    <xf borderId="0" fillId="0" fontId="1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4" numFmtId="166" xfId="0" applyFont="1" applyNumberFormat="1"/>
    <xf borderId="0" fillId="0" fontId="7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3" numFmtId="0" xfId="0" applyAlignment="1" applyFont="1">
      <alignment readingOrder="0"/>
    </xf>
    <xf quotePrefix="1" borderId="0" fillId="0" fontId="8" numFmtId="0" xfId="0" applyAlignment="1" applyFont="1">
      <alignment readingOrder="0"/>
    </xf>
    <xf borderId="0" fillId="0" fontId="4" numFmtId="165" xfId="0" applyFont="1" applyNumberFormat="1"/>
    <xf borderId="0" fillId="0" fontId="9" numFmtId="0" xfId="0" applyAlignment="1" applyFont="1">
      <alignment readingOrder="0"/>
    </xf>
    <xf borderId="0" fillId="0" fontId="4" numFmtId="1" xfId="0" applyFont="1" applyNumberFormat="1"/>
    <xf borderId="0" fillId="0" fontId="2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1" numFmtId="0" xfId="0" applyFont="1"/>
    <xf borderId="0" fillId="0" fontId="12" numFmtId="0" xfId="0" applyFont="1"/>
    <xf borderId="0" fillId="0" fontId="13" numFmtId="0" xfId="0" applyAlignment="1" applyFont="1">
      <alignment readingOrder="0"/>
    </xf>
    <xf borderId="0" fillId="0" fontId="7" numFmtId="0" xfId="0" applyFont="1"/>
    <xf borderId="0" fillId="0" fontId="14" numFmtId="0" xfId="0" applyAlignment="1" applyFont="1">
      <alignment readingOrder="0"/>
    </xf>
    <xf borderId="0" fillId="0" fontId="4" numFmtId="0" xfId="0" applyAlignment="1" applyFont="1">
      <alignment horizontal="right" readingOrder="0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left"/>
    </xf>
    <xf borderId="0" fillId="0" fontId="4" numFmtId="16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10.png"/><Relationship Id="rId10" Type="http://schemas.openxmlformats.org/officeDocument/2006/relationships/image" Target="../media/image12.png"/><Relationship Id="rId13" Type="http://schemas.openxmlformats.org/officeDocument/2006/relationships/image" Target="../media/image16.png"/><Relationship Id="rId12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5.png"/><Relationship Id="rId3" Type="http://schemas.openxmlformats.org/officeDocument/2006/relationships/image" Target="../media/image6.png"/><Relationship Id="rId4" Type="http://schemas.openxmlformats.org/officeDocument/2006/relationships/image" Target="../media/image9.png"/><Relationship Id="rId9" Type="http://schemas.openxmlformats.org/officeDocument/2006/relationships/image" Target="../media/image3.png"/><Relationship Id="rId14" Type="http://schemas.openxmlformats.org/officeDocument/2006/relationships/image" Target="../media/image15.png"/><Relationship Id="rId5" Type="http://schemas.openxmlformats.org/officeDocument/2006/relationships/image" Target="../media/image8.png"/><Relationship Id="rId6" Type="http://schemas.openxmlformats.org/officeDocument/2006/relationships/image" Target="../media/image11.png"/><Relationship Id="rId7" Type="http://schemas.openxmlformats.org/officeDocument/2006/relationships/image" Target="../media/image7.png"/><Relationship Id="rId8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2.png"/><Relationship Id="rId4" Type="http://schemas.openxmlformats.org/officeDocument/2006/relationships/image" Target="../media/image10.png"/><Relationship Id="rId5" Type="http://schemas.openxmlformats.org/officeDocument/2006/relationships/image" Target="../media/image4.png"/><Relationship Id="rId6" Type="http://schemas.openxmlformats.org/officeDocument/2006/relationships/image" Target="../media/image31.png"/><Relationship Id="rId7" Type="http://schemas.openxmlformats.org/officeDocument/2006/relationships/image" Target="../media/image21.png"/><Relationship Id="rId8" Type="http://schemas.openxmlformats.org/officeDocument/2006/relationships/image" Target="../media/image26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Relationship Id="rId3" Type="http://schemas.openxmlformats.org/officeDocument/2006/relationships/image" Target="../media/image6.png"/><Relationship Id="rId4" Type="http://schemas.openxmlformats.org/officeDocument/2006/relationships/image" Target="../media/image9.png"/><Relationship Id="rId9" Type="http://schemas.openxmlformats.org/officeDocument/2006/relationships/image" Target="../media/image13.png"/><Relationship Id="rId5" Type="http://schemas.openxmlformats.org/officeDocument/2006/relationships/image" Target="../media/image8.png"/><Relationship Id="rId6" Type="http://schemas.openxmlformats.org/officeDocument/2006/relationships/image" Target="../media/image11.png"/><Relationship Id="rId7" Type="http://schemas.openxmlformats.org/officeDocument/2006/relationships/image" Target="../media/image7.png"/><Relationship Id="rId8" Type="http://schemas.openxmlformats.org/officeDocument/2006/relationships/image" Target="../media/image20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6.xml.rels><?xml version="1.0" encoding="UTF-8" standalone="yes"?><Relationships xmlns="http://schemas.openxmlformats.org/package/2006/relationships"><Relationship Id="rId10" Type="http://schemas.openxmlformats.org/officeDocument/2006/relationships/image" Target="../media/image29.png"/><Relationship Id="rId1" Type="http://schemas.openxmlformats.org/officeDocument/2006/relationships/image" Target="../media/image30.png"/><Relationship Id="rId2" Type="http://schemas.openxmlformats.org/officeDocument/2006/relationships/image" Target="../media/image27.png"/><Relationship Id="rId3" Type="http://schemas.openxmlformats.org/officeDocument/2006/relationships/image" Target="../media/image25.png"/><Relationship Id="rId4" Type="http://schemas.openxmlformats.org/officeDocument/2006/relationships/image" Target="../media/image24.png"/><Relationship Id="rId9" Type="http://schemas.openxmlformats.org/officeDocument/2006/relationships/image" Target="../media/image19.png"/><Relationship Id="rId5" Type="http://schemas.openxmlformats.org/officeDocument/2006/relationships/image" Target="../media/image28.png"/><Relationship Id="rId6" Type="http://schemas.openxmlformats.org/officeDocument/2006/relationships/image" Target="../media/image14.png"/><Relationship Id="rId7" Type="http://schemas.openxmlformats.org/officeDocument/2006/relationships/image" Target="../media/image17.png"/><Relationship Id="rId8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239</xdr:row>
      <xdr:rowOff>38100</xdr:rowOff>
    </xdr:from>
    <xdr:ext cx="1905000" cy="323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504825</xdr:colOff>
      <xdr:row>239</xdr:row>
      <xdr:rowOff>152400</xdr:rowOff>
    </xdr:from>
    <xdr:ext cx="1981200" cy="247650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234</xdr:row>
      <xdr:rowOff>161925</xdr:rowOff>
    </xdr:from>
    <xdr:ext cx="704850" cy="41910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243</xdr:row>
      <xdr:rowOff>19050</xdr:rowOff>
    </xdr:from>
    <xdr:ext cx="1533525" cy="342900"/>
    <xdr:pic>
      <xdr:nvPicPr>
        <xdr:cNvPr id="0" name="image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248</xdr:row>
      <xdr:rowOff>9525</xdr:rowOff>
    </xdr:from>
    <xdr:ext cx="1895475" cy="419100"/>
    <xdr:pic>
      <xdr:nvPicPr>
        <xdr:cNvPr id="0" name="image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252</xdr:row>
      <xdr:rowOff>171450</xdr:rowOff>
    </xdr:from>
    <xdr:ext cx="914400" cy="238125"/>
    <xdr:pic>
      <xdr:nvPicPr>
        <xdr:cNvPr id="0" name="image1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255</xdr:row>
      <xdr:rowOff>0</xdr:rowOff>
    </xdr:from>
    <xdr:ext cx="990600" cy="180975"/>
    <xdr:pic>
      <xdr:nvPicPr>
        <xdr:cNvPr id="0" name="image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271</xdr:row>
      <xdr:rowOff>76200</xdr:rowOff>
    </xdr:from>
    <xdr:ext cx="1114425" cy="504825"/>
    <xdr:pic>
      <xdr:nvPicPr>
        <xdr:cNvPr id="0" name="image2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274</xdr:row>
      <xdr:rowOff>161925</xdr:rowOff>
    </xdr:from>
    <xdr:ext cx="1019175" cy="285750"/>
    <xdr:pic>
      <xdr:nvPicPr>
        <xdr:cNvPr id="0" name="image3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278</xdr:row>
      <xdr:rowOff>0</xdr:rowOff>
    </xdr:from>
    <xdr:ext cx="1285875" cy="171450"/>
    <xdr:pic>
      <xdr:nvPicPr>
        <xdr:cNvPr id="0" name="image12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381000</xdr:colOff>
      <xdr:row>281</xdr:row>
      <xdr:rowOff>0</xdr:rowOff>
    </xdr:from>
    <xdr:ext cx="1905000" cy="295275"/>
    <xdr:pic>
      <xdr:nvPicPr>
        <xdr:cNvPr id="0" name="image10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342900</xdr:colOff>
      <xdr:row>289</xdr:row>
      <xdr:rowOff>171450</xdr:rowOff>
    </xdr:from>
    <xdr:ext cx="962025" cy="180975"/>
    <xdr:pic>
      <xdr:nvPicPr>
        <xdr:cNvPr id="0" name="image4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533400</xdr:colOff>
      <xdr:row>186</xdr:row>
      <xdr:rowOff>161925</xdr:rowOff>
    </xdr:from>
    <xdr:ext cx="4486275" cy="3181350"/>
    <xdr:pic>
      <xdr:nvPicPr>
        <xdr:cNvPr id="0" name="image16.png" title="Immagine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533400</xdr:colOff>
      <xdr:row>211</xdr:row>
      <xdr:rowOff>47625</xdr:rowOff>
    </xdr:from>
    <xdr:ext cx="4448175" cy="3057525"/>
    <xdr:pic>
      <xdr:nvPicPr>
        <xdr:cNvPr id="0" name="image15.png" title="Immagine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28575</xdr:rowOff>
    </xdr:from>
    <xdr:ext cx="7762875" cy="5219700"/>
    <xdr:pic>
      <xdr:nvPicPr>
        <xdr:cNvPr id="0" name="image18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13</xdr:row>
      <xdr:rowOff>76200</xdr:rowOff>
    </xdr:from>
    <xdr:ext cx="819150" cy="5048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16</xdr:row>
      <xdr:rowOff>161925</xdr:rowOff>
    </xdr:from>
    <xdr:ext cx="723900" cy="2857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20</xdr:row>
      <xdr:rowOff>19050</xdr:rowOff>
    </xdr:from>
    <xdr:ext cx="1057275" cy="180975"/>
    <xdr:pic>
      <xdr:nvPicPr>
        <xdr:cNvPr id="0" name="image1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381000</xdr:colOff>
      <xdr:row>24</xdr:row>
      <xdr:rowOff>0</xdr:rowOff>
    </xdr:from>
    <xdr:ext cx="1504950" cy="295275"/>
    <xdr:pic>
      <xdr:nvPicPr>
        <xdr:cNvPr id="0" name="image10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447675</xdr:colOff>
      <xdr:row>33</xdr:row>
      <xdr:rowOff>0</xdr:rowOff>
    </xdr:from>
    <xdr:ext cx="733425" cy="171450"/>
    <xdr:pic>
      <xdr:nvPicPr>
        <xdr:cNvPr id="0" name="image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190500</xdr:colOff>
      <xdr:row>18</xdr:row>
      <xdr:rowOff>19050</xdr:rowOff>
    </xdr:from>
    <xdr:ext cx="4752975" cy="3257550"/>
    <xdr:pic>
      <xdr:nvPicPr>
        <xdr:cNvPr id="0" name="image3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209550</xdr:colOff>
      <xdr:row>0</xdr:row>
      <xdr:rowOff>38100</xdr:rowOff>
    </xdr:from>
    <xdr:ext cx="4600575" cy="3114675"/>
    <xdr:pic>
      <xdr:nvPicPr>
        <xdr:cNvPr id="0" name="image21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533400</xdr:colOff>
      <xdr:row>1</xdr:row>
      <xdr:rowOff>38100</xdr:rowOff>
    </xdr:from>
    <xdr:ext cx="1428750" cy="1485900"/>
    <xdr:pic>
      <xdr:nvPicPr>
        <xdr:cNvPr id="0" name="image26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7</xdr:row>
      <xdr:rowOff>38100</xdr:rowOff>
    </xdr:from>
    <xdr:ext cx="1504950" cy="323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504825</xdr:colOff>
      <xdr:row>7</xdr:row>
      <xdr:rowOff>152400</xdr:rowOff>
    </xdr:from>
    <xdr:ext cx="1752600" cy="247650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495300</xdr:colOff>
      <xdr:row>2</xdr:row>
      <xdr:rowOff>142875</xdr:rowOff>
    </xdr:from>
    <xdr:ext cx="523875" cy="295275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19050</xdr:rowOff>
    </xdr:from>
    <xdr:ext cx="1238250" cy="342900"/>
    <xdr:pic>
      <xdr:nvPicPr>
        <xdr:cNvPr id="0" name="image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9525</xdr:rowOff>
    </xdr:from>
    <xdr:ext cx="1495425" cy="419100"/>
    <xdr:pic>
      <xdr:nvPicPr>
        <xdr:cNvPr id="0" name="image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20</xdr:row>
      <xdr:rowOff>171450</xdr:rowOff>
    </xdr:from>
    <xdr:ext cx="676275" cy="238125"/>
    <xdr:pic>
      <xdr:nvPicPr>
        <xdr:cNvPr id="0" name="image1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22</xdr:row>
      <xdr:rowOff>180975</xdr:rowOff>
    </xdr:from>
    <xdr:ext cx="781050" cy="209550"/>
    <xdr:pic>
      <xdr:nvPicPr>
        <xdr:cNvPr id="0" name="image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12</xdr:row>
      <xdr:rowOff>114300</xdr:rowOff>
    </xdr:from>
    <xdr:ext cx="4391025" cy="2886075"/>
    <xdr:pic>
      <xdr:nvPicPr>
        <xdr:cNvPr id="0" name="image20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552450</xdr:colOff>
      <xdr:row>1</xdr:row>
      <xdr:rowOff>133350</xdr:rowOff>
    </xdr:from>
    <xdr:ext cx="1924050" cy="1781175"/>
    <xdr:pic>
      <xdr:nvPicPr>
        <xdr:cNvPr id="0" name="image13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504825</xdr:colOff>
      <xdr:row>6</xdr:row>
      <xdr:rowOff>76200</xdr:rowOff>
    </xdr:from>
    <xdr:ext cx="6105525" cy="3695700"/>
    <xdr:pic>
      <xdr:nvPicPr>
        <xdr:cNvPr id="0" name="image23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609600</xdr:colOff>
      <xdr:row>2</xdr:row>
      <xdr:rowOff>47625</xdr:rowOff>
    </xdr:from>
    <xdr:ext cx="6048375" cy="3686175"/>
    <xdr:pic>
      <xdr:nvPicPr>
        <xdr:cNvPr id="0" name="image30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10</xdr:row>
      <xdr:rowOff>190500</xdr:rowOff>
    </xdr:from>
    <xdr:ext cx="2047875" cy="1800225"/>
    <xdr:pic>
      <xdr:nvPicPr>
        <xdr:cNvPr id="0" name="image27.png" title="Immagin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21</xdr:row>
      <xdr:rowOff>133350</xdr:rowOff>
    </xdr:from>
    <xdr:ext cx="1628775" cy="466725"/>
    <xdr:pic>
      <xdr:nvPicPr>
        <xdr:cNvPr id="0" name="image25.png" title="Immagin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24</xdr:row>
      <xdr:rowOff>95250</xdr:rowOff>
    </xdr:from>
    <xdr:ext cx="1628775" cy="771525"/>
    <xdr:pic>
      <xdr:nvPicPr>
        <xdr:cNvPr id="0" name="image24.png" title="Immagin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29</xdr:row>
      <xdr:rowOff>171450</xdr:rowOff>
    </xdr:from>
    <xdr:ext cx="1466850" cy="238125"/>
    <xdr:pic>
      <xdr:nvPicPr>
        <xdr:cNvPr id="0" name="image28.png" title="Immagin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32</xdr:row>
      <xdr:rowOff>152400</xdr:rowOff>
    </xdr:from>
    <xdr:ext cx="1200150" cy="390525"/>
    <xdr:pic>
      <xdr:nvPicPr>
        <xdr:cNvPr id="0" name="image14.png" title="Immagin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35</xdr:row>
      <xdr:rowOff>190500</xdr:rowOff>
    </xdr:from>
    <xdr:ext cx="1733550" cy="466725"/>
    <xdr:pic>
      <xdr:nvPicPr>
        <xdr:cNvPr id="0" name="image17.png" title="Immagin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38</xdr:row>
      <xdr:rowOff>152400</xdr:rowOff>
    </xdr:from>
    <xdr:ext cx="1628775" cy="466725"/>
    <xdr:pic>
      <xdr:nvPicPr>
        <xdr:cNvPr id="0" name="image22.png" title="Immagin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190500</xdr:rowOff>
    </xdr:from>
    <xdr:ext cx="1047750" cy="200025"/>
    <xdr:pic>
      <xdr:nvPicPr>
        <xdr:cNvPr id="0" name="image19.png" title="Immagin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49</xdr:row>
      <xdr:rowOff>142875</xdr:rowOff>
    </xdr:from>
    <xdr:ext cx="1466850" cy="466725"/>
    <xdr:pic>
      <xdr:nvPicPr>
        <xdr:cNvPr id="0" name="image29.png" title="Immagin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88"/>
    <col customWidth="1" min="2" max="2" width="9.0"/>
    <col customWidth="1" min="3" max="3" width="7.63"/>
    <col customWidth="1" min="4" max="4" width="10.63"/>
    <col customWidth="1" min="5" max="5" width="7.63"/>
    <col customWidth="1" min="6" max="6" width="9.25"/>
    <col customWidth="1" min="7" max="7" width="6.25"/>
    <col customWidth="1" min="8" max="8" width="7.0"/>
    <col customWidth="1" min="9" max="26" width="7.63"/>
  </cols>
  <sheetData>
    <row r="1" ht="14.25" customHeight="1">
      <c r="A1" s="1" t="s">
        <v>0</v>
      </c>
    </row>
    <row r="2" ht="14.25" customHeight="1"/>
    <row r="3" ht="14.25" customHeight="1">
      <c r="A3" s="1" t="s">
        <v>1</v>
      </c>
    </row>
    <row r="4" ht="14.25" customHeight="1"/>
    <row r="5" ht="14.25" customHeight="1">
      <c r="A5" s="1" t="s">
        <v>2</v>
      </c>
    </row>
    <row r="6" ht="14.25" customHeight="1">
      <c r="A6" s="2" t="s">
        <v>3</v>
      </c>
      <c r="B6" s="3">
        <v>20.0</v>
      </c>
      <c r="C6" s="2" t="s">
        <v>4</v>
      </c>
      <c r="D6" s="2"/>
      <c r="E6" s="2"/>
      <c r="F6" s="2"/>
      <c r="G6" s="2"/>
    </row>
    <row r="7" ht="14.25" customHeight="1">
      <c r="A7" s="2" t="s">
        <v>5</v>
      </c>
      <c r="B7" s="3">
        <f>10/1000</f>
        <v>0.01</v>
      </c>
      <c r="C7" s="2" t="s">
        <v>6</v>
      </c>
      <c r="D7" s="2"/>
      <c r="E7" s="2"/>
      <c r="F7" s="2"/>
      <c r="G7" s="2"/>
    </row>
    <row r="8" ht="14.25" customHeight="1">
      <c r="A8" s="2" t="s">
        <v>7</v>
      </c>
      <c r="B8" s="4">
        <v>1.006</v>
      </c>
      <c r="C8" s="2" t="s">
        <v>8</v>
      </c>
      <c r="D8" s="2" t="s">
        <v>9</v>
      </c>
      <c r="E8" s="2"/>
      <c r="F8" s="2"/>
      <c r="G8" s="2"/>
    </row>
    <row r="9" ht="14.25" customHeight="1">
      <c r="A9" s="2" t="s">
        <v>10</v>
      </c>
      <c r="B9" s="5">
        <f>596 * 4.186</f>
        <v>2494.856</v>
      </c>
      <c r="C9" s="2" t="s">
        <v>11</v>
      </c>
      <c r="D9" s="2" t="s">
        <v>12</v>
      </c>
      <c r="E9" s="2"/>
      <c r="F9" s="2"/>
      <c r="G9" s="2"/>
    </row>
    <row r="10" ht="14.25" customHeight="1">
      <c r="A10" s="2" t="s">
        <v>13</v>
      </c>
      <c r="B10" s="3">
        <f>0.46*4.186</f>
        <v>1.92556</v>
      </c>
      <c r="C10" s="2" t="s">
        <v>14</v>
      </c>
      <c r="D10" s="2" t="s">
        <v>15</v>
      </c>
      <c r="E10" s="2"/>
      <c r="F10" s="2"/>
      <c r="G10" s="2"/>
    </row>
    <row r="11" ht="14.25" customHeight="1">
      <c r="B11" s="6"/>
    </row>
    <row r="12" ht="14.25" customHeight="1">
      <c r="A12" s="7" t="s">
        <v>16</v>
      </c>
      <c r="B12" s="6">
        <f>1*B8*20</f>
        <v>20.12</v>
      </c>
      <c r="C12" s="7" t="s">
        <v>17</v>
      </c>
      <c r="D12" s="7" t="s">
        <v>18</v>
      </c>
    </row>
    <row r="13" ht="14.25" customHeight="1">
      <c r="A13" s="7" t="s">
        <v>19</v>
      </c>
      <c r="B13" s="6">
        <f>$B$7*($B$9+$B$10*$B$6)</f>
        <v>25.333672</v>
      </c>
      <c r="C13" s="7" t="s">
        <v>20</v>
      </c>
      <c r="D13" s="7" t="s">
        <v>21</v>
      </c>
      <c r="E13" s="7" t="s">
        <v>22</v>
      </c>
      <c r="G13" s="6">
        <f>$B$7*($B$10*$B$6)</f>
        <v>0.385112</v>
      </c>
      <c r="H13" s="7" t="s">
        <v>23</v>
      </c>
    </row>
    <row r="14" ht="14.25" customHeight="1">
      <c r="A14" s="7" t="s">
        <v>24</v>
      </c>
      <c r="B14" s="6">
        <f>B12+B13</f>
        <v>45.453672</v>
      </c>
      <c r="C14" s="7" t="s">
        <v>20</v>
      </c>
      <c r="D14" s="6">
        <f>B14/4.186</f>
        <v>10.85849785</v>
      </c>
      <c r="E14" s="7" t="s">
        <v>25</v>
      </c>
    </row>
    <row r="15" ht="14.25" customHeight="1">
      <c r="A15" s="7" t="s">
        <v>26</v>
      </c>
      <c r="D15" s="6">
        <v>10.85</v>
      </c>
      <c r="E15" s="7" t="s">
        <v>25</v>
      </c>
    </row>
    <row r="16" ht="14.25" customHeight="1"/>
    <row r="17" ht="14.25" customHeight="1"/>
    <row r="18" ht="14.25" customHeight="1">
      <c r="A18" s="1" t="s">
        <v>27</v>
      </c>
    </row>
    <row r="19" ht="14.25" customHeight="1">
      <c r="A19" s="2" t="s">
        <v>28</v>
      </c>
      <c r="B19" s="2"/>
      <c r="C19" s="2"/>
      <c r="D19" s="2"/>
      <c r="E19" s="2"/>
    </row>
    <row r="20" ht="14.25" customHeight="1">
      <c r="A20" s="2" t="s">
        <v>29</v>
      </c>
      <c r="B20" s="2"/>
      <c r="C20" s="2"/>
      <c r="D20" s="2"/>
      <c r="E20" s="2"/>
    </row>
    <row r="21" ht="14.25" customHeight="1">
      <c r="A21" s="2" t="s">
        <v>30</v>
      </c>
      <c r="B21" s="2"/>
      <c r="C21" s="2"/>
      <c r="D21" s="2"/>
      <c r="E21" s="2"/>
    </row>
    <row r="22" ht="14.25" customHeight="1"/>
    <row r="23" ht="14.25" customHeight="1">
      <c r="A23" s="7" t="s">
        <v>31</v>
      </c>
      <c r="D23" s="7">
        <f>1000/100</f>
        <v>10</v>
      </c>
      <c r="E23" s="7" t="s">
        <v>32</v>
      </c>
    </row>
    <row r="24" ht="14.25" customHeight="1">
      <c r="A24" s="7" t="s">
        <v>33</v>
      </c>
    </row>
    <row r="25" ht="14.25" customHeight="1">
      <c r="A25" s="7" t="s">
        <v>34</v>
      </c>
    </row>
    <row r="26" ht="14.25" customHeight="1"/>
    <row r="27" ht="14.25" customHeight="1">
      <c r="A27" s="1" t="s">
        <v>35</v>
      </c>
    </row>
    <row r="28" ht="14.25" customHeight="1">
      <c r="A28" s="2" t="s">
        <v>36</v>
      </c>
      <c r="B28" s="2" t="s">
        <v>37</v>
      </c>
      <c r="C28" s="2" t="s">
        <v>38</v>
      </c>
      <c r="D28" s="8">
        <v>0.5</v>
      </c>
    </row>
    <row r="29" ht="14.25" customHeight="1">
      <c r="A29" s="2" t="s">
        <v>39</v>
      </c>
      <c r="B29" s="2" t="s">
        <v>40</v>
      </c>
      <c r="C29" s="2" t="s">
        <v>41</v>
      </c>
      <c r="D29" s="8">
        <v>0.7</v>
      </c>
    </row>
    <row r="30" ht="14.25" customHeight="1"/>
    <row r="31" ht="14.25" customHeight="1">
      <c r="A31" s="1" t="s">
        <v>35</v>
      </c>
    </row>
    <row r="32" ht="14.25" customHeight="1">
      <c r="A32" s="2" t="s">
        <v>36</v>
      </c>
      <c r="B32" s="2" t="s">
        <v>37</v>
      </c>
      <c r="C32" s="2" t="s">
        <v>42</v>
      </c>
      <c r="D32" s="8">
        <v>0.5</v>
      </c>
    </row>
    <row r="33" ht="14.25" customHeight="1">
      <c r="A33" s="2" t="s">
        <v>39</v>
      </c>
      <c r="B33" s="2" t="s">
        <v>40</v>
      </c>
      <c r="C33" s="2" t="s">
        <v>43</v>
      </c>
      <c r="D33" s="8">
        <v>0.7</v>
      </c>
    </row>
    <row r="34" ht="14.25" customHeight="1"/>
    <row r="35" ht="14.25" customHeight="1"/>
    <row r="36" ht="14.25" customHeight="1">
      <c r="A36" s="1" t="s">
        <v>44</v>
      </c>
    </row>
    <row r="37" ht="14.25" customHeight="1">
      <c r="A37" s="1" t="s">
        <v>45</v>
      </c>
    </row>
    <row r="38" ht="14.25" customHeight="1">
      <c r="A38" s="2" t="s">
        <v>46</v>
      </c>
      <c r="B38" s="2">
        <v>100.0</v>
      </c>
      <c r="C38" s="2" t="s">
        <v>47</v>
      </c>
      <c r="D38" s="2" t="s">
        <v>48</v>
      </c>
      <c r="E38" s="2">
        <v>30.0</v>
      </c>
      <c r="F38" s="2" t="s">
        <v>4</v>
      </c>
    </row>
    <row r="39" ht="14.25" customHeight="1">
      <c r="A39" s="2" t="s">
        <v>49</v>
      </c>
      <c r="B39" s="2">
        <v>1000.0</v>
      </c>
      <c r="C39" s="2" t="s">
        <v>50</v>
      </c>
      <c r="D39" s="2"/>
      <c r="E39" s="2"/>
      <c r="F39" s="2"/>
    </row>
    <row r="40" ht="14.25" customHeight="1">
      <c r="A40" s="2" t="s">
        <v>7</v>
      </c>
      <c r="B40" s="2">
        <v>1.006</v>
      </c>
      <c r="C40" s="2" t="s">
        <v>51</v>
      </c>
      <c r="D40" s="2"/>
      <c r="E40" s="2"/>
      <c r="F40" s="2"/>
    </row>
    <row r="41" ht="14.25" customHeight="1">
      <c r="A41" s="2" t="s">
        <v>5</v>
      </c>
      <c r="B41" s="2">
        <f>B39/B38</f>
        <v>10</v>
      </c>
      <c r="C41" s="2" t="s">
        <v>32</v>
      </c>
      <c r="D41" s="2"/>
      <c r="E41" s="2"/>
      <c r="F41" s="2"/>
    </row>
    <row r="42" ht="14.25" customHeight="1">
      <c r="A42" s="2" t="s">
        <v>16</v>
      </c>
      <c r="B42" s="2">
        <f>B38*B40*E38</f>
        <v>3018</v>
      </c>
      <c r="C42" s="2" t="s">
        <v>17</v>
      </c>
      <c r="D42" s="2"/>
      <c r="E42" s="2"/>
      <c r="F42" s="2"/>
    </row>
    <row r="43" ht="14.25" customHeight="1"/>
    <row r="44" ht="14.25" customHeight="1">
      <c r="A44" s="7" t="s">
        <v>52</v>
      </c>
    </row>
    <row r="45" ht="14.25" customHeight="1"/>
    <row r="46" ht="14.25" customHeight="1">
      <c r="A46" s="1" t="s">
        <v>53</v>
      </c>
    </row>
    <row r="47" ht="14.25" customHeight="1">
      <c r="A47" s="1" t="s">
        <v>54</v>
      </c>
    </row>
    <row r="48" ht="14.25" customHeight="1">
      <c r="A48" s="2" t="s">
        <v>46</v>
      </c>
      <c r="B48" s="2">
        <v>100.0</v>
      </c>
      <c r="C48" s="2" t="s">
        <v>47</v>
      </c>
      <c r="D48" s="2" t="s">
        <v>55</v>
      </c>
      <c r="E48" s="3">
        <f>2490</f>
        <v>2490</v>
      </c>
      <c r="F48" s="2" t="s">
        <v>56</v>
      </c>
    </row>
    <row r="49" ht="14.25" customHeight="1">
      <c r="A49" s="2" t="s">
        <v>49</v>
      </c>
      <c r="B49" s="2">
        <v>1000.0</v>
      </c>
      <c r="C49" s="2" t="s">
        <v>50</v>
      </c>
      <c r="D49" s="2"/>
      <c r="E49" s="2" t="s">
        <v>57</v>
      </c>
      <c r="F49" s="2"/>
    </row>
    <row r="50" ht="14.25" customHeight="1">
      <c r="A50" s="2" t="s">
        <v>7</v>
      </c>
      <c r="B50" s="2">
        <v>1.006</v>
      </c>
      <c r="C50" s="2" t="s">
        <v>51</v>
      </c>
      <c r="D50" s="2"/>
      <c r="E50" s="2"/>
      <c r="F50" s="2"/>
    </row>
    <row r="51" ht="14.25" customHeight="1">
      <c r="A51" s="2" t="s">
        <v>58</v>
      </c>
      <c r="B51" s="2">
        <f>B49/B48</f>
        <v>10</v>
      </c>
      <c r="C51" s="2" t="s">
        <v>32</v>
      </c>
      <c r="D51" s="2"/>
      <c r="E51" s="2"/>
      <c r="F51" s="2"/>
    </row>
    <row r="52" ht="14.25" customHeight="1">
      <c r="A52" s="2" t="s">
        <v>59</v>
      </c>
      <c r="B52" s="2">
        <v>9.0</v>
      </c>
      <c r="C52" s="2" t="s">
        <v>32</v>
      </c>
      <c r="D52" s="2"/>
      <c r="E52" s="2"/>
      <c r="F52" s="2"/>
    </row>
    <row r="53" ht="14.25" customHeight="1"/>
    <row r="54" ht="14.25" customHeight="1">
      <c r="A54" s="7" t="s">
        <v>60</v>
      </c>
      <c r="B54" s="7">
        <f>B51+B52</f>
        <v>19</v>
      </c>
      <c r="C54" s="7" t="s">
        <v>32</v>
      </c>
    </row>
    <row r="55" ht="14.25" customHeight="1">
      <c r="A55" s="7" t="s">
        <v>19</v>
      </c>
      <c r="B55" s="7">
        <f>B48*E48*B52/1000</f>
        <v>2241</v>
      </c>
      <c r="C55" s="7" t="s">
        <v>17</v>
      </c>
      <c r="D55" s="7" t="s">
        <v>61</v>
      </c>
    </row>
    <row r="56" ht="14.25" customHeight="1"/>
    <row r="57" ht="14.25" customHeight="1">
      <c r="A57" s="7" t="s">
        <v>62</v>
      </c>
    </row>
    <row r="58" ht="14.25" customHeight="1"/>
    <row r="59" ht="14.25" customHeight="1"/>
    <row r="60" ht="14.25" customHeight="1">
      <c r="A60" s="1" t="s">
        <v>63</v>
      </c>
    </row>
    <row r="61" ht="14.25" customHeight="1">
      <c r="A61" s="1" t="s">
        <v>64</v>
      </c>
    </row>
    <row r="62" ht="14.25" customHeight="1">
      <c r="A62" s="2" t="s">
        <v>65</v>
      </c>
      <c r="B62" s="2">
        <v>3000.0</v>
      </c>
      <c r="C62" s="2" t="s">
        <v>66</v>
      </c>
      <c r="D62" s="2"/>
      <c r="E62" s="2"/>
    </row>
    <row r="63" ht="14.25" customHeight="1">
      <c r="A63" s="2" t="s">
        <v>36</v>
      </c>
      <c r="B63" s="2" t="s">
        <v>3</v>
      </c>
      <c r="C63" s="2">
        <v>15.0</v>
      </c>
      <c r="D63" s="2" t="s">
        <v>67</v>
      </c>
      <c r="E63" s="2">
        <v>90.0</v>
      </c>
    </row>
    <row r="64" ht="14.25" customHeight="1">
      <c r="A64" s="2" t="s">
        <v>39</v>
      </c>
      <c r="B64" s="2" t="s">
        <v>3</v>
      </c>
      <c r="C64" s="2">
        <v>40.0</v>
      </c>
      <c r="D64" s="2" t="s">
        <v>67</v>
      </c>
      <c r="E64" s="2">
        <v>22.0</v>
      </c>
    </row>
    <row r="65" ht="14.25" customHeight="1">
      <c r="A65" s="2" t="s">
        <v>7</v>
      </c>
      <c r="B65" s="2">
        <v>1.006</v>
      </c>
      <c r="C65" s="2" t="s">
        <v>51</v>
      </c>
      <c r="D65" s="2"/>
      <c r="E65" s="2"/>
    </row>
    <row r="66" ht="14.25" customHeight="1">
      <c r="A66" s="2" t="s">
        <v>68</v>
      </c>
      <c r="B66" s="2">
        <v>1.2</v>
      </c>
      <c r="C66" s="2" t="s">
        <v>69</v>
      </c>
      <c r="D66" s="2"/>
      <c r="E66" s="2"/>
    </row>
    <row r="67" ht="14.25" customHeight="1"/>
    <row r="68" ht="14.25" customHeight="1">
      <c r="A68" s="7" t="s">
        <v>70</v>
      </c>
      <c r="B68" s="7">
        <f>B62*B66</f>
        <v>3600</v>
      </c>
      <c r="C68" s="7" t="s">
        <v>71</v>
      </c>
      <c r="D68" s="7">
        <f>B68/3600</f>
        <v>1</v>
      </c>
      <c r="E68" s="7" t="s">
        <v>72</v>
      </c>
    </row>
    <row r="69" ht="14.25" customHeight="1">
      <c r="A69" s="7" t="s">
        <v>73</v>
      </c>
      <c r="B69" s="7">
        <f>D68*B65*(C64-C63)</f>
        <v>25.15</v>
      </c>
      <c r="C69" s="7" t="s">
        <v>74</v>
      </c>
      <c r="D69" s="7" t="s">
        <v>75</v>
      </c>
    </row>
    <row r="70" ht="14.25" customHeight="1">
      <c r="A70" s="7" t="s">
        <v>76</v>
      </c>
      <c r="B70" s="7">
        <f>B69*24</f>
        <v>603.6</v>
      </c>
      <c r="C70" s="7" t="s">
        <v>77</v>
      </c>
    </row>
    <row r="71" ht="14.25" customHeight="1">
      <c r="A71" s="7" t="s">
        <v>78</v>
      </c>
      <c r="B71" s="7">
        <f>B70*0.1</f>
        <v>60.36</v>
      </c>
      <c r="C71" s="7" t="s">
        <v>79</v>
      </c>
      <c r="D71" s="7" t="s">
        <v>80</v>
      </c>
    </row>
    <row r="72" ht="14.25" customHeight="1"/>
    <row r="73" ht="14.25" customHeight="1">
      <c r="A73" s="7" t="s">
        <v>81</v>
      </c>
    </row>
    <row r="74" ht="14.25" customHeight="1"/>
    <row r="75" ht="14.25" customHeight="1">
      <c r="A75" s="1" t="s">
        <v>82</v>
      </c>
    </row>
    <row r="76" ht="14.25" customHeight="1">
      <c r="A76" s="2" t="s">
        <v>83</v>
      </c>
      <c r="B76" s="2">
        <v>10.0</v>
      </c>
      <c r="C76" s="2" t="s">
        <v>4</v>
      </c>
    </row>
    <row r="77" ht="14.25" customHeight="1">
      <c r="A77" s="2" t="s">
        <v>84</v>
      </c>
      <c r="B77" s="2">
        <v>15.0</v>
      </c>
      <c r="C77" s="2" t="s">
        <v>4</v>
      </c>
    </row>
    <row r="78" ht="14.25" customHeight="1"/>
    <row r="79" ht="14.25" customHeight="1">
      <c r="A79" s="7" t="s">
        <v>85</v>
      </c>
      <c r="B79" s="7">
        <f>(B77+B76)/2+1</f>
        <v>13.5</v>
      </c>
      <c r="C79" s="7" t="s">
        <v>4</v>
      </c>
    </row>
    <row r="80" ht="14.25" customHeight="1"/>
    <row r="81" ht="14.25" customHeight="1">
      <c r="A81" s="1" t="s">
        <v>86</v>
      </c>
    </row>
    <row r="82" ht="14.25" customHeight="1">
      <c r="A82" s="2" t="s">
        <v>65</v>
      </c>
      <c r="B82" s="2">
        <v>1000.0</v>
      </c>
      <c r="C82" s="2" t="s">
        <v>66</v>
      </c>
      <c r="D82" s="2"/>
      <c r="E82" s="2"/>
    </row>
    <row r="83" ht="14.25" customHeight="1">
      <c r="A83" s="2" t="s">
        <v>36</v>
      </c>
      <c r="B83" s="2">
        <v>35.0</v>
      </c>
      <c r="C83" s="2" t="s">
        <v>4</v>
      </c>
      <c r="D83" s="2">
        <v>50.0</v>
      </c>
      <c r="E83" s="2" t="s">
        <v>67</v>
      </c>
    </row>
    <row r="84" ht="14.25" customHeight="1">
      <c r="A84" s="2" t="s">
        <v>39</v>
      </c>
      <c r="B84" s="2">
        <v>25.0</v>
      </c>
      <c r="C84" s="2" t="s">
        <v>4</v>
      </c>
      <c r="D84" s="2">
        <v>90.0</v>
      </c>
      <c r="E84" s="2" t="s">
        <v>67</v>
      </c>
    </row>
    <row r="85" ht="14.25" customHeight="1">
      <c r="A85" s="2" t="s">
        <v>68</v>
      </c>
      <c r="B85" s="2">
        <v>1.2</v>
      </c>
      <c r="C85" s="2" t="s">
        <v>87</v>
      </c>
      <c r="D85" s="2"/>
      <c r="E85" s="2"/>
    </row>
    <row r="86" ht="14.25" customHeight="1"/>
    <row r="87" ht="14.25" customHeight="1">
      <c r="A87" s="7" t="s">
        <v>88</v>
      </c>
    </row>
    <row r="88" ht="14.25" customHeight="1">
      <c r="A88" s="9" t="s">
        <v>89</v>
      </c>
      <c r="B88" s="10">
        <f>(19.5-16.9)*4.186</f>
        <v>10.8836</v>
      </c>
      <c r="C88" s="7" t="s">
        <v>20</v>
      </c>
    </row>
    <row r="89" ht="14.25" customHeight="1">
      <c r="A89" s="7" t="s">
        <v>70</v>
      </c>
      <c r="B89" s="10">
        <f>B82*B85</f>
        <v>1200</v>
      </c>
      <c r="C89" s="7" t="s">
        <v>90</v>
      </c>
      <c r="D89" s="11">
        <f>B89/3600</f>
        <v>0.3333333333</v>
      </c>
      <c r="E89" s="7" t="s">
        <v>72</v>
      </c>
    </row>
    <row r="90" ht="14.25" customHeight="1">
      <c r="A90" s="7" t="s">
        <v>91</v>
      </c>
      <c r="B90" s="6">
        <f>D89*B88</f>
        <v>3.627866667</v>
      </c>
      <c r="C90" s="7" t="s">
        <v>74</v>
      </c>
    </row>
    <row r="91" ht="14.25" customHeight="1"/>
    <row r="92" ht="14.25" customHeight="1">
      <c r="A92" s="7" t="s">
        <v>92</v>
      </c>
    </row>
    <row r="93" ht="14.25" customHeight="1"/>
    <row r="94" ht="14.25" customHeight="1"/>
    <row r="95" ht="14.25" customHeight="1">
      <c r="A95" s="1" t="s">
        <v>93</v>
      </c>
    </row>
    <row r="96" ht="14.25" customHeight="1">
      <c r="A96" s="1" t="s">
        <v>94</v>
      </c>
    </row>
    <row r="97" ht="14.25" customHeight="1">
      <c r="A97" s="1" t="s">
        <v>95</v>
      </c>
    </row>
    <row r="98" ht="14.25" customHeight="1">
      <c r="A98" s="2" t="s">
        <v>65</v>
      </c>
      <c r="B98" s="2">
        <v>1000.0</v>
      </c>
      <c r="C98" s="2" t="s">
        <v>66</v>
      </c>
      <c r="D98" s="2"/>
      <c r="E98" s="2"/>
      <c r="F98" s="2"/>
    </row>
    <row r="99" ht="14.25" customHeight="1">
      <c r="A99" s="2" t="s">
        <v>36</v>
      </c>
      <c r="B99" s="2">
        <v>35.0</v>
      </c>
      <c r="C99" s="2" t="s">
        <v>4</v>
      </c>
      <c r="D99" s="2">
        <v>50.0</v>
      </c>
      <c r="E99" s="2" t="s">
        <v>67</v>
      </c>
      <c r="F99" s="2"/>
    </row>
    <row r="100" ht="14.25" customHeight="1">
      <c r="A100" s="2" t="s">
        <v>96</v>
      </c>
      <c r="B100" s="2">
        <v>7.0</v>
      </c>
      <c r="C100" s="2" t="s">
        <v>4</v>
      </c>
      <c r="D100" s="2" t="s">
        <v>97</v>
      </c>
      <c r="E100" s="2">
        <v>0.04</v>
      </c>
      <c r="F100" s="8">
        <v>-0.04</v>
      </c>
    </row>
    <row r="101" ht="14.25" customHeight="1">
      <c r="A101" s="2" t="s">
        <v>98</v>
      </c>
      <c r="B101" s="2">
        <v>12.0</v>
      </c>
      <c r="C101" s="2" t="s">
        <v>4</v>
      </c>
      <c r="D101" s="2"/>
      <c r="E101" s="2"/>
      <c r="F101" s="2"/>
    </row>
    <row r="102" ht="14.25" customHeight="1"/>
    <row r="103" ht="14.25" customHeight="1">
      <c r="A103" s="7" t="s">
        <v>99</v>
      </c>
      <c r="B103" s="7">
        <f>(B100+B101)/2+1</f>
        <v>10.5</v>
      </c>
      <c r="C103" s="7" t="s">
        <v>4</v>
      </c>
    </row>
    <row r="104" ht="14.25" customHeight="1">
      <c r="A104" s="7" t="s">
        <v>100</v>
      </c>
      <c r="B104" s="7">
        <f>B98*E100</f>
        <v>40</v>
      </c>
      <c r="C104" s="7" t="s">
        <v>66</v>
      </c>
      <c r="D104" s="7">
        <f t="shared" ref="D104:D105" si="1">B104*1.2/3600</f>
        <v>0.01333333333</v>
      </c>
      <c r="E104" s="7" t="s">
        <v>72</v>
      </c>
    </row>
    <row r="105" ht="14.25" customHeight="1">
      <c r="A105" s="7" t="s">
        <v>101</v>
      </c>
      <c r="B105" s="7">
        <f>B98-B104</f>
        <v>960</v>
      </c>
      <c r="C105" s="7" t="s">
        <v>66</v>
      </c>
      <c r="D105" s="7">
        <f t="shared" si="1"/>
        <v>0.32</v>
      </c>
      <c r="E105" s="7" t="s">
        <v>72</v>
      </c>
    </row>
    <row r="106" ht="14.25" customHeight="1"/>
    <row r="107" ht="14.25" customHeight="1">
      <c r="A107" s="7" t="s">
        <v>102</v>
      </c>
    </row>
    <row r="108" ht="14.25" customHeight="1">
      <c r="A108" s="7" t="s">
        <v>103</v>
      </c>
    </row>
    <row r="109" ht="14.25" customHeight="1">
      <c r="A109" s="7" t="s">
        <v>104</v>
      </c>
    </row>
    <row r="110" ht="14.25" customHeight="1"/>
    <row r="111" ht="14.25" customHeight="1">
      <c r="A111" s="7" t="s">
        <v>105</v>
      </c>
      <c r="D111" s="7">
        <f>10</f>
        <v>10</v>
      </c>
      <c r="E111" s="7" t="s">
        <v>32</v>
      </c>
    </row>
    <row r="112" ht="14.25" customHeight="1">
      <c r="A112" s="7" t="s">
        <v>106</v>
      </c>
      <c r="D112" s="10">
        <f>(19.5-7.8)*4.186</f>
        <v>48.9762</v>
      </c>
      <c r="E112" s="7" t="s">
        <v>20</v>
      </c>
    </row>
    <row r="113" ht="14.25" customHeight="1"/>
    <row r="114" ht="14.25" customHeight="1">
      <c r="A114" s="7" t="s">
        <v>107</v>
      </c>
      <c r="D114" s="7">
        <f>1.2*B105*D111/1000</f>
        <v>11.52</v>
      </c>
      <c r="E114" s="7" t="s">
        <v>71</v>
      </c>
      <c r="F114" s="7">
        <f>D105*D111/1000*3600</f>
        <v>11.52</v>
      </c>
      <c r="G114" s="7" t="s">
        <v>71</v>
      </c>
    </row>
    <row r="115" ht="14.25" customHeight="1">
      <c r="A115" s="7" t="s">
        <v>108</v>
      </c>
      <c r="D115" s="6">
        <f>D105*D112</f>
        <v>15.672384</v>
      </c>
      <c r="E115" s="7" t="s">
        <v>74</v>
      </c>
    </row>
    <row r="116" ht="14.25" customHeight="1"/>
    <row r="117" ht="14.25" customHeight="1">
      <c r="A117" s="7" t="s">
        <v>109</v>
      </c>
      <c r="C117" s="6">
        <f>D115/4.186/(B101-B100)</f>
        <v>0.7488</v>
      </c>
      <c r="D117" s="7" t="s">
        <v>72</v>
      </c>
    </row>
    <row r="118" ht="14.25" customHeight="1"/>
    <row r="119" ht="14.25" customHeight="1"/>
    <row r="120" ht="14.25" customHeight="1">
      <c r="A120" s="1" t="s">
        <v>110</v>
      </c>
    </row>
    <row r="121" ht="14.25" customHeight="1">
      <c r="A121" s="1" t="s">
        <v>111</v>
      </c>
    </row>
    <row r="122" ht="14.25" customHeight="1">
      <c r="A122" s="2" t="s">
        <v>65</v>
      </c>
      <c r="B122" s="2">
        <v>1000.0</v>
      </c>
      <c r="C122" s="2" t="s">
        <v>66</v>
      </c>
    </row>
    <row r="123" ht="14.25" customHeight="1">
      <c r="A123" s="2" t="s">
        <v>36</v>
      </c>
      <c r="B123" s="2">
        <v>20.0</v>
      </c>
      <c r="C123" s="2" t="s">
        <v>4</v>
      </c>
      <c r="D123" s="2">
        <v>40.0</v>
      </c>
      <c r="E123" s="2" t="s">
        <v>67</v>
      </c>
    </row>
    <row r="124" ht="14.25" customHeight="1">
      <c r="A124" s="2" t="s">
        <v>112</v>
      </c>
      <c r="B124" s="2">
        <v>0.08</v>
      </c>
    </row>
    <row r="125" ht="14.25" customHeight="1"/>
    <row r="126" ht="14.25" customHeight="1">
      <c r="A126" s="12" t="s">
        <v>113</v>
      </c>
    </row>
    <row r="127" ht="14.25" customHeight="1">
      <c r="A127" s="7" t="s">
        <v>114</v>
      </c>
    </row>
    <row r="128" ht="14.25" customHeight="1">
      <c r="A128" s="7" t="s">
        <v>115</v>
      </c>
    </row>
    <row r="129" ht="14.25" customHeight="1">
      <c r="A129" s="7" t="s">
        <v>116</v>
      </c>
    </row>
    <row r="130" ht="14.25" customHeight="1">
      <c r="A130" s="7" t="s">
        <v>117</v>
      </c>
      <c r="B130" s="7">
        <v>2.5</v>
      </c>
      <c r="C130" s="7" t="s">
        <v>32</v>
      </c>
    </row>
    <row r="131" ht="14.25" customHeight="1">
      <c r="A131" s="7" t="s">
        <v>46</v>
      </c>
      <c r="B131" s="6">
        <f>B122*1.2/3600</f>
        <v>0.3333333333</v>
      </c>
      <c r="C131" s="7" t="s">
        <v>72</v>
      </c>
    </row>
    <row r="132" ht="14.25" customHeight="1">
      <c r="A132" s="7" t="s">
        <v>118</v>
      </c>
    </row>
    <row r="133" ht="14.25" customHeight="1">
      <c r="A133" s="7" t="s">
        <v>119</v>
      </c>
      <c r="B133" s="7">
        <f>B131*B130/1000</f>
        <v>0.0008333333333</v>
      </c>
      <c r="C133" s="7" t="s">
        <v>72</v>
      </c>
      <c r="D133" s="7">
        <f>B133*3600</f>
        <v>3</v>
      </c>
      <c r="E133" s="7" t="s">
        <v>90</v>
      </c>
    </row>
    <row r="134" ht="14.25" customHeight="1"/>
    <row r="135" ht="14.25" customHeight="1"/>
    <row r="136" ht="14.25" customHeight="1">
      <c r="A136" s="1" t="s">
        <v>120</v>
      </c>
    </row>
    <row r="137" ht="14.25" customHeight="1">
      <c r="A137" s="1" t="s">
        <v>121</v>
      </c>
    </row>
    <row r="138" ht="14.25" customHeight="1">
      <c r="A138" s="2" t="s">
        <v>122</v>
      </c>
      <c r="B138" s="2">
        <v>2000.0</v>
      </c>
      <c r="C138" s="2" t="s">
        <v>66</v>
      </c>
      <c r="D138" s="2"/>
      <c r="E138" s="2"/>
    </row>
    <row r="139" ht="14.25" customHeight="1">
      <c r="A139" s="2" t="s">
        <v>36</v>
      </c>
      <c r="B139" s="2">
        <v>25.0</v>
      </c>
      <c r="C139" s="2" t="s">
        <v>4</v>
      </c>
      <c r="D139" s="2">
        <v>30.0</v>
      </c>
      <c r="E139" s="2" t="s">
        <v>67</v>
      </c>
    </row>
    <row r="140" ht="14.25" customHeight="1">
      <c r="A140" s="2" t="s">
        <v>123</v>
      </c>
      <c r="B140" s="2">
        <v>13.0</v>
      </c>
      <c r="C140" s="2" t="s">
        <v>90</v>
      </c>
      <c r="D140" s="2"/>
      <c r="E140" s="2"/>
    </row>
    <row r="141" ht="14.25" customHeight="1"/>
    <row r="142" ht="14.25" customHeight="1">
      <c r="A142" s="12" t="s">
        <v>124</v>
      </c>
      <c r="B142" s="12"/>
      <c r="C142" s="12">
        <f>2495+ 1.93*100</f>
        <v>2688</v>
      </c>
      <c r="D142" s="12" t="s">
        <v>125</v>
      </c>
      <c r="E142" s="6">
        <f>C142/1000</f>
        <v>2.688</v>
      </c>
      <c r="F142" s="12" t="s">
        <v>126</v>
      </c>
      <c r="G142" s="12"/>
    </row>
    <row r="143" ht="14.25" customHeight="1">
      <c r="A143" s="12" t="s">
        <v>127</v>
      </c>
      <c r="B143" s="12"/>
      <c r="C143" s="12"/>
      <c r="D143" s="12"/>
      <c r="E143" s="12"/>
      <c r="F143" s="12"/>
      <c r="G143" s="12"/>
    </row>
    <row r="144" ht="14.25" customHeight="1">
      <c r="A144" s="7" t="s">
        <v>49</v>
      </c>
      <c r="B144" s="7">
        <f>B140/3600</f>
        <v>0.003611111111</v>
      </c>
      <c r="C144" s="7" t="s">
        <v>72</v>
      </c>
      <c r="D144" s="12"/>
      <c r="E144" s="12"/>
      <c r="F144" s="12"/>
      <c r="G144" s="12"/>
    </row>
    <row r="145" ht="14.25" customHeight="1">
      <c r="A145" s="12" t="s">
        <v>128</v>
      </c>
      <c r="B145" s="6">
        <f>B144*C142</f>
        <v>9.706666667</v>
      </c>
      <c r="C145" s="12" t="s">
        <v>74</v>
      </c>
      <c r="D145" s="13">
        <f>B145/0.001163</f>
        <v>8346.231012</v>
      </c>
      <c r="E145" s="12" t="s">
        <v>129</v>
      </c>
      <c r="F145" s="12"/>
      <c r="G145" s="12"/>
    </row>
    <row r="146" ht="14.25" customHeight="1">
      <c r="A146" s="12"/>
      <c r="B146" s="12"/>
      <c r="C146" s="12"/>
      <c r="D146" s="12"/>
      <c r="E146" s="12"/>
      <c r="F146" s="12"/>
      <c r="G146" s="12"/>
    </row>
    <row r="147" ht="14.25" customHeight="1">
      <c r="A147" s="12" t="s">
        <v>130</v>
      </c>
      <c r="B147" s="12"/>
      <c r="C147" s="12"/>
      <c r="D147" s="12"/>
      <c r="E147" s="12"/>
      <c r="F147" s="12"/>
      <c r="G147" s="12"/>
    </row>
    <row r="148" ht="14.25" customHeight="1">
      <c r="A148" s="12" t="s">
        <v>46</v>
      </c>
      <c r="B148" s="6">
        <f>1.2*B138/3600</f>
        <v>0.6666666667</v>
      </c>
      <c r="C148" s="12" t="s">
        <v>72</v>
      </c>
      <c r="D148" s="12"/>
      <c r="E148" s="12"/>
      <c r="F148" s="12"/>
      <c r="G148" s="12"/>
    </row>
    <row r="149" ht="14.25" customHeight="1">
      <c r="A149" s="12" t="s">
        <v>131</v>
      </c>
      <c r="B149" s="12"/>
      <c r="C149" s="12"/>
      <c r="D149" s="12"/>
      <c r="E149" s="12"/>
      <c r="F149" s="12"/>
      <c r="G149" s="12"/>
    </row>
    <row r="150" ht="14.25" customHeight="1">
      <c r="A150" s="12" t="s">
        <v>132</v>
      </c>
      <c r="B150" s="12">
        <f>B145/B148</f>
        <v>14.56</v>
      </c>
      <c r="C150" s="12" t="s">
        <v>133</v>
      </c>
      <c r="D150" s="6">
        <f>B150/4.186</f>
        <v>3.47826087</v>
      </c>
      <c r="E150" s="12" t="s">
        <v>134</v>
      </c>
      <c r="F150" s="12"/>
      <c r="G150" s="12"/>
    </row>
    <row r="151" ht="14.25" customHeight="1">
      <c r="A151" s="12" t="s">
        <v>135</v>
      </c>
    </row>
    <row r="152" ht="14.25" customHeight="1">
      <c r="A152" s="12" t="s">
        <v>39</v>
      </c>
      <c r="B152" s="7" t="s">
        <v>136</v>
      </c>
      <c r="C152" s="7" t="s">
        <v>137</v>
      </c>
    </row>
    <row r="153" ht="14.25" customHeight="1"/>
    <row r="154" ht="14.25" customHeight="1">
      <c r="A154" s="12" t="s">
        <v>138</v>
      </c>
      <c r="F154" s="7">
        <f>6</f>
        <v>6</v>
      </c>
      <c r="G154" s="7" t="s">
        <v>32</v>
      </c>
    </row>
    <row r="155" ht="14.25" customHeight="1">
      <c r="A155" s="12" t="s">
        <v>139</v>
      </c>
      <c r="E155" s="6">
        <f>B140*1000/(1.2*B138)</f>
        <v>5.416666667</v>
      </c>
      <c r="F155" s="7" t="s">
        <v>140</v>
      </c>
    </row>
    <row r="156" ht="14.25" customHeight="1">
      <c r="A156" s="12" t="s">
        <v>141</v>
      </c>
      <c r="B156" s="6">
        <f>F154+E155</f>
        <v>11.41666667</v>
      </c>
      <c r="C156" s="7" t="s">
        <v>142</v>
      </c>
    </row>
    <row r="157" ht="14.25" customHeight="1">
      <c r="A157" s="12" t="s">
        <v>143</v>
      </c>
    </row>
    <row r="158" ht="14.25" customHeight="1"/>
    <row r="159" ht="14.25" customHeight="1"/>
    <row r="160" ht="14.25" customHeight="1">
      <c r="A160" s="1" t="s">
        <v>144</v>
      </c>
    </row>
    <row r="161" ht="14.25" customHeight="1">
      <c r="A161" s="1" t="s">
        <v>145</v>
      </c>
    </row>
    <row r="162" ht="14.25" customHeight="1">
      <c r="A162" s="2" t="s">
        <v>122</v>
      </c>
      <c r="B162" s="2">
        <v>2000.0</v>
      </c>
      <c r="C162" s="2" t="s">
        <v>66</v>
      </c>
      <c r="D162" s="2"/>
      <c r="E162" s="2"/>
    </row>
    <row r="163" ht="14.25" customHeight="1">
      <c r="A163" s="2" t="s">
        <v>36</v>
      </c>
      <c r="B163" s="2">
        <v>25.0</v>
      </c>
      <c r="C163" s="2" t="s">
        <v>4</v>
      </c>
      <c r="D163" s="2">
        <v>30.0</v>
      </c>
      <c r="E163" s="2" t="s">
        <v>67</v>
      </c>
    </row>
    <row r="164" ht="14.25" customHeight="1">
      <c r="A164" s="2" t="s">
        <v>39</v>
      </c>
      <c r="B164" s="2">
        <v>25.0</v>
      </c>
      <c r="C164" s="2" t="s">
        <v>4</v>
      </c>
      <c r="D164" s="2">
        <v>67.0</v>
      </c>
      <c r="E164" s="2" t="s">
        <v>67</v>
      </c>
    </row>
    <row r="165" ht="14.25" customHeight="1"/>
    <row r="166" ht="14.25" customHeight="1">
      <c r="A166" s="12" t="s">
        <v>146</v>
      </c>
    </row>
    <row r="167" ht="14.25" customHeight="1">
      <c r="A167" s="12" t="s">
        <v>147</v>
      </c>
      <c r="B167" s="12">
        <f>11.5-6</f>
        <v>5.5</v>
      </c>
      <c r="C167" s="12" t="s">
        <v>142</v>
      </c>
      <c r="D167" s="12"/>
    </row>
    <row r="168" ht="14.25" customHeight="1">
      <c r="A168" s="12" t="s">
        <v>46</v>
      </c>
      <c r="B168" s="12">
        <f>1.2*B162</f>
        <v>2400</v>
      </c>
      <c r="C168" s="12" t="s">
        <v>90</v>
      </c>
      <c r="D168" s="12"/>
    </row>
    <row r="169" ht="14.25" customHeight="1">
      <c r="A169" s="12"/>
      <c r="B169" s="12"/>
      <c r="C169" s="12"/>
      <c r="D169" s="12"/>
    </row>
    <row r="170" ht="14.25" customHeight="1">
      <c r="A170" s="12" t="s">
        <v>49</v>
      </c>
      <c r="B170" s="12">
        <f>B167/1000*B168</f>
        <v>13.2</v>
      </c>
      <c r="C170" s="12" t="s">
        <v>90</v>
      </c>
      <c r="D170" s="12"/>
    </row>
    <row r="171" ht="14.25" customHeight="1">
      <c r="A171" s="12"/>
      <c r="B171" s="12"/>
      <c r="C171" s="12"/>
      <c r="D171" s="12"/>
    </row>
    <row r="172" ht="14.25" customHeight="1"/>
    <row r="173" ht="14.25" customHeight="1">
      <c r="A173" s="1" t="s">
        <v>148</v>
      </c>
    </row>
    <row r="174" ht="14.25" customHeight="1">
      <c r="A174" s="2" t="s">
        <v>16</v>
      </c>
      <c r="B174" s="2">
        <v>10.0</v>
      </c>
      <c r="C174" s="2" t="s">
        <v>74</v>
      </c>
      <c r="D174" s="7" t="s">
        <v>149</v>
      </c>
    </row>
    <row r="175" ht="14.25" customHeight="1">
      <c r="A175" s="2" t="s">
        <v>19</v>
      </c>
      <c r="B175" s="2">
        <v>2.0</v>
      </c>
      <c r="C175" s="2" t="s">
        <v>74</v>
      </c>
    </row>
    <row r="176" ht="14.25" customHeight="1"/>
    <row r="177" ht="14.25" customHeight="1">
      <c r="A177" s="7" t="s">
        <v>150</v>
      </c>
      <c r="B177" s="11">
        <f>B174/(B174+B175)</f>
        <v>0.8333333333</v>
      </c>
    </row>
    <row r="178" ht="14.25" customHeight="1"/>
    <row r="179" ht="14.25" customHeight="1"/>
    <row r="180" ht="14.25" customHeight="1">
      <c r="A180" s="1" t="s">
        <v>148</v>
      </c>
    </row>
    <row r="181" ht="14.25" customHeight="1">
      <c r="A181" s="2" t="s">
        <v>16</v>
      </c>
      <c r="B181" s="2">
        <v>-10.0</v>
      </c>
      <c r="C181" s="2" t="s">
        <v>74</v>
      </c>
      <c r="D181" s="7" t="s">
        <v>151</v>
      </c>
    </row>
    <row r="182" ht="14.25" customHeight="1">
      <c r="A182" s="2" t="s">
        <v>19</v>
      </c>
      <c r="B182" s="2">
        <v>2.0</v>
      </c>
      <c r="C182" s="2" t="s">
        <v>74</v>
      </c>
    </row>
    <row r="183" ht="14.25" customHeight="1"/>
    <row r="184" ht="14.25" customHeight="1">
      <c r="A184" s="7" t="s">
        <v>150</v>
      </c>
      <c r="B184" s="7">
        <f>B181/(B181+B182)</f>
        <v>1.25</v>
      </c>
    </row>
    <row r="185" ht="14.25" customHeight="1"/>
    <row r="186" ht="14.25" customHeight="1">
      <c r="A186" s="14" t="s">
        <v>152</v>
      </c>
    </row>
    <row r="187" ht="14.25" customHeight="1">
      <c r="A187" s="14" t="s">
        <v>153</v>
      </c>
      <c r="B187" s="2"/>
      <c r="C187" s="2"/>
    </row>
    <row r="188" ht="14.25" customHeight="1">
      <c r="A188" s="2" t="s">
        <v>16</v>
      </c>
      <c r="B188" s="15">
        <v>-10.0</v>
      </c>
      <c r="C188" s="2" t="s">
        <v>74</v>
      </c>
      <c r="D188" s="7" t="s">
        <v>151</v>
      </c>
    </row>
    <row r="189" ht="14.25" customHeight="1">
      <c r="A189" s="2" t="s">
        <v>154</v>
      </c>
      <c r="B189" s="2">
        <v>80.0</v>
      </c>
      <c r="C189" s="2" t="s">
        <v>155</v>
      </c>
    </row>
    <row r="190" ht="14.25" customHeight="1">
      <c r="A190" s="2" t="s">
        <v>156</v>
      </c>
      <c r="B190" s="2">
        <v>100.0</v>
      </c>
      <c r="C190" s="2" t="s">
        <v>157</v>
      </c>
      <c r="D190" s="16">
        <f>B190/1000/3600</f>
        <v>0.00002777777778</v>
      </c>
      <c r="E190" s="7" t="s">
        <v>72</v>
      </c>
    </row>
    <row r="191" ht="14.25" customHeight="1">
      <c r="A191" s="2" t="s">
        <v>158</v>
      </c>
      <c r="B191" s="2">
        <v>25.0</v>
      </c>
      <c r="C191" s="2"/>
    </row>
    <row r="192" ht="14.25" customHeight="1">
      <c r="A192" s="17" t="s">
        <v>159</v>
      </c>
      <c r="B192" s="17">
        <v>20.0</v>
      </c>
      <c r="C192" s="17" t="s">
        <v>4</v>
      </c>
      <c r="D192" s="17">
        <v>50.0</v>
      </c>
      <c r="E192" s="17" t="s">
        <v>160</v>
      </c>
    </row>
    <row r="193" ht="14.25" customHeight="1">
      <c r="A193" s="17" t="s">
        <v>161</v>
      </c>
      <c r="B193" s="17">
        <v>7.0</v>
      </c>
      <c r="C193" s="17" t="s">
        <v>162</v>
      </c>
    </row>
    <row r="194" ht="14.25" customHeight="1"/>
    <row r="195" ht="14.25" customHeight="1">
      <c r="A195" s="12" t="s">
        <v>163</v>
      </c>
      <c r="B195" s="12">
        <f>B189*B191/1000</f>
        <v>2</v>
      </c>
      <c r="C195" s="12" t="s">
        <v>74</v>
      </c>
    </row>
    <row r="196" ht="14.25" customHeight="1">
      <c r="A196" s="12" t="s">
        <v>124</v>
      </c>
      <c r="B196" s="12"/>
      <c r="C196" s="12">
        <f>2495+ 1.93*20</f>
        <v>2533.6</v>
      </c>
      <c r="D196" s="12" t="s">
        <v>125</v>
      </c>
      <c r="E196" s="6">
        <f>C196/1000</f>
        <v>2.5336</v>
      </c>
      <c r="F196" s="12" t="s">
        <v>126</v>
      </c>
    </row>
    <row r="197" ht="14.25" customHeight="1">
      <c r="A197" s="18" t="s">
        <v>164</v>
      </c>
      <c r="B197" s="6">
        <f>C196*D190*1000</f>
        <v>70.37777778</v>
      </c>
      <c r="C197" s="7" t="s">
        <v>155</v>
      </c>
    </row>
    <row r="198" ht="14.25" customHeight="1">
      <c r="A198" s="19" t="s">
        <v>165</v>
      </c>
      <c r="B198" s="6">
        <f>B197*B191/1000</f>
        <v>1.759444444</v>
      </c>
      <c r="C198" s="7" t="s">
        <v>74</v>
      </c>
    </row>
    <row r="199" ht="14.25" customHeight="1"/>
    <row r="200" ht="14.25" customHeight="1">
      <c r="A200" s="7" t="s">
        <v>150</v>
      </c>
      <c r="B200" s="6">
        <f>(B188+B195)/(B188+B195+B198)</f>
        <v>1.281937149</v>
      </c>
    </row>
    <row r="201" ht="14.25" customHeight="1">
      <c r="A201" s="18" t="s">
        <v>166</v>
      </c>
      <c r="B201" s="7">
        <f>B193*25</f>
        <v>175</v>
      </c>
      <c r="C201" s="18" t="s">
        <v>162</v>
      </c>
      <c r="D201" s="7">
        <f>1.2*175/1000</f>
        <v>0.21</v>
      </c>
      <c r="E201" s="18" t="s">
        <v>72</v>
      </c>
      <c r="F201" s="7">
        <f>D201*3600</f>
        <v>756</v>
      </c>
      <c r="G201" s="18" t="s">
        <v>90</v>
      </c>
    </row>
    <row r="202" ht="14.25" customHeight="1">
      <c r="B202" s="7">
        <f>B201/1000*3600</f>
        <v>630</v>
      </c>
      <c r="C202" s="18" t="s">
        <v>66</v>
      </c>
    </row>
    <row r="203" ht="14.25" customHeight="1"/>
    <row r="204" ht="14.25" customHeight="1">
      <c r="A204" s="20" t="s">
        <v>167</v>
      </c>
      <c r="B204" s="11">
        <f>B188+B195+B198</f>
        <v>-6.240555556</v>
      </c>
      <c r="C204" s="18" t="s">
        <v>74</v>
      </c>
      <c r="D204" s="21" t="s">
        <v>168</v>
      </c>
      <c r="E204" s="18" t="s">
        <v>169</v>
      </c>
      <c r="F204" s="18" t="s">
        <v>170</v>
      </c>
      <c r="G204" s="22">
        <f>-B204/D201</f>
        <v>29.71693122</v>
      </c>
      <c r="H204" s="18" t="s">
        <v>17</v>
      </c>
    </row>
    <row r="205" ht="14.25" customHeight="1">
      <c r="A205" s="23" t="s">
        <v>171</v>
      </c>
    </row>
    <row r="206" ht="14.25" customHeight="1">
      <c r="A206" s="23" t="s">
        <v>172</v>
      </c>
    </row>
    <row r="207" ht="14.25" customHeight="1">
      <c r="A207" s="23" t="s">
        <v>170</v>
      </c>
      <c r="B207" s="7">
        <f>9</f>
        <v>9</v>
      </c>
      <c r="C207" s="19" t="s">
        <v>173</v>
      </c>
    </row>
    <row r="208" ht="14.25" customHeight="1">
      <c r="A208" s="23" t="s">
        <v>46</v>
      </c>
      <c r="B208" s="11">
        <f>-B204/9</f>
        <v>0.6933950617</v>
      </c>
      <c r="C208" s="18" t="s">
        <v>72</v>
      </c>
      <c r="D208" s="24">
        <f>B208*3600/1.2</f>
        <v>2080.185185</v>
      </c>
      <c r="E208" s="18" t="s">
        <v>66</v>
      </c>
    </row>
    <row r="209" ht="14.25" customHeight="1">
      <c r="A209" s="1"/>
    </row>
    <row r="210" ht="14.25" customHeight="1">
      <c r="A210" s="1"/>
    </row>
    <row r="211" ht="14.25" customHeight="1">
      <c r="A211" s="1" t="s">
        <v>152</v>
      </c>
    </row>
    <row r="212" ht="14.25" customHeight="1">
      <c r="A212" s="2" t="s">
        <v>16</v>
      </c>
      <c r="B212" s="15">
        <v>6.0</v>
      </c>
      <c r="C212" s="2" t="s">
        <v>74</v>
      </c>
      <c r="D212" s="7" t="s">
        <v>149</v>
      </c>
    </row>
    <row r="213" ht="14.25" customHeight="1">
      <c r="A213" s="2" t="s">
        <v>154</v>
      </c>
      <c r="B213" s="25">
        <v>60.0</v>
      </c>
      <c r="C213" s="2" t="s">
        <v>155</v>
      </c>
    </row>
    <row r="214" ht="14.25" customHeight="1">
      <c r="A214" s="2" t="s">
        <v>156</v>
      </c>
      <c r="B214" s="2">
        <v>100.0</v>
      </c>
      <c r="C214" s="2" t="s">
        <v>157</v>
      </c>
      <c r="D214" s="16">
        <f>B214/1000/3600</f>
        <v>0.00002777777778</v>
      </c>
      <c r="E214" s="7" t="s">
        <v>72</v>
      </c>
    </row>
    <row r="215" ht="14.25" customHeight="1">
      <c r="A215" s="2" t="s">
        <v>158</v>
      </c>
      <c r="B215" s="2">
        <v>25.0</v>
      </c>
      <c r="C215" s="2"/>
    </row>
    <row r="216" ht="14.25" customHeight="1">
      <c r="A216" s="17" t="s">
        <v>159</v>
      </c>
      <c r="B216" s="26">
        <v>25.0</v>
      </c>
      <c r="C216" s="17" t="s">
        <v>4</v>
      </c>
      <c r="D216" s="17">
        <v>50.0</v>
      </c>
      <c r="E216" s="17" t="s">
        <v>160</v>
      </c>
    </row>
    <row r="217" ht="14.25" customHeight="1">
      <c r="A217" s="17" t="s">
        <v>161</v>
      </c>
      <c r="B217" s="17">
        <v>7.0</v>
      </c>
      <c r="C217" s="17" t="s">
        <v>162</v>
      </c>
    </row>
    <row r="218" ht="14.25" customHeight="1"/>
    <row r="219" ht="14.25" customHeight="1">
      <c r="A219" s="12" t="s">
        <v>163</v>
      </c>
      <c r="B219" s="12">
        <f>B213*B215/1000</f>
        <v>1.5</v>
      </c>
      <c r="C219" s="12" t="s">
        <v>74</v>
      </c>
    </row>
    <row r="220" ht="14.25" customHeight="1">
      <c r="A220" s="12" t="s">
        <v>124</v>
      </c>
      <c r="B220" s="12"/>
      <c r="C220" s="12">
        <f>2495+ 1.93*20</f>
        <v>2533.6</v>
      </c>
      <c r="D220" s="12" t="s">
        <v>125</v>
      </c>
      <c r="E220" s="6">
        <f>C220/1000</f>
        <v>2.5336</v>
      </c>
      <c r="F220" s="12" t="s">
        <v>126</v>
      </c>
    </row>
    <row r="221" ht="14.25" customHeight="1">
      <c r="A221" s="18" t="s">
        <v>174</v>
      </c>
      <c r="B221" s="6">
        <f>C220*D214*1000</f>
        <v>70.37777778</v>
      </c>
      <c r="C221" s="7" t="s">
        <v>155</v>
      </c>
    </row>
    <row r="222" ht="14.25" customHeight="1">
      <c r="A222" s="19" t="s">
        <v>165</v>
      </c>
      <c r="B222" s="6">
        <f>B221*B215/1000</f>
        <v>1.759444444</v>
      </c>
      <c r="C222" s="7" t="s">
        <v>74</v>
      </c>
    </row>
    <row r="223" ht="14.25" customHeight="1"/>
    <row r="224" ht="14.25" customHeight="1">
      <c r="A224" s="7" t="s">
        <v>150</v>
      </c>
      <c r="B224" s="6">
        <f>(B212+B219)/(B212+B219+B222)</f>
        <v>0.8099838003</v>
      </c>
    </row>
    <row r="225" ht="14.25" customHeight="1">
      <c r="A225" s="18" t="s">
        <v>166</v>
      </c>
      <c r="B225" s="7">
        <f>B217*25</f>
        <v>175</v>
      </c>
      <c r="C225" s="19" t="s">
        <v>162</v>
      </c>
      <c r="D225" s="7">
        <f>1.2*175/1000</f>
        <v>0.21</v>
      </c>
      <c r="E225" s="19" t="s">
        <v>72</v>
      </c>
      <c r="F225" s="7">
        <f>D225*3600</f>
        <v>756</v>
      </c>
      <c r="G225" s="19" t="s">
        <v>90</v>
      </c>
    </row>
    <row r="226" ht="14.25" customHeight="1">
      <c r="A226" s="20"/>
      <c r="C226" s="18"/>
    </row>
    <row r="227" ht="14.25" customHeight="1">
      <c r="A227" s="23" t="s">
        <v>175</v>
      </c>
      <c r="B227" s="11">
        <f>B212+B219+B222</f>
        <v>9.259444444</v>
      </c>
      <c r="C227" s="18" t="s">
        <v>74</v>
      </c>
      <c r="D227" s="21" t="s">
        <v>176</v>
      </c>
      <c r="E227" s="18" t="s">
        <v>169</v>
      </c>
      <c r="F227" s="18" t="s">
        <v>170</v>
      </c>
      <c r="G227" s="22">
        <f>B227/D225</f>
        <v>44.09259259</v>
      </c>
      <c r="H227" s="18" t="s">
        <v>17</v>
      </c>
    </row>
    <row r="228" ht="14.25" customHeight="1">
      <c r="A228" s="23" t="s">
        <v>177</v>
      </c>
    </row>
    <row r="229" ht="14.25" customHeight="1">
      <c r="A229" s="23" t="s">
        <v>178</v>
      </c>
    </row>
    <row r="230" ht="14.25" customHeight="1">
      <c r="A230" s="20" t="s">
        <v>170</v>
      </c>
      <c r="B230" s="19">
        <v>13.0</v>
      </c>
      <c r="C230" s="18" t="s">
        <v>173</v>
      </c>
    </row>
    <row r="231" ht="14.25" customHeight="1">
      <c r="A231" s="20" t="s">
        <v>46</v>
      </c>
      <c r="B231" s="11">
        <f>B227/B230</f>
        <v>0.7122649573</v>
      </c>
      <c r="C231" s="18" t="s">
        <v>72</v>
      </c>
      <c r="D231" s="24">
        <f>B231*3600/1.2</f>
        <v>2136.794872</v>
      </c>
      <c r="E231" s="18" t="s">
        <v>66</v>
      </c>
    </row>
    <row r="232" ht="14.25" customHeight="1"/>
    <row r="233" ht="14.25" customHeight="1">
      <c r="A233" s="1" t="s">
        <v>179</v>
      </c>
    </row>
    <row r="234" ht="14.25" customHeight="1">
      <c r="A234" s="1" t="s">
        <v>180</v>
      </c>
    </row>
    <row r="235" ht="14.25" customHeight="1">
      <c r="A235" s="2" t="s">
        <v>122</v>
      </c>
      <c r="B235" s="2">
        <v>250.0</v>
      </c>
      <c r="C235" s="2" t="s">
        <v>66</v>
      </c>
      <c r="D235" s="4">
        <f>1.2*B235/3600</f>
        <v>0.08333333333</v>
      </c>
      <c r="E235" s="2" t="s">
        <v>72</v>
      </c>
    </row>
    <row r="236" ht="14.25" customHeight="1">
      <c r="A236" s="2" t="s">
        <v>181</v>
      </c>
      <c r="B236" s="2">
        <v>4.0</v>
      </c>
      <c r="C236" s="2" t="s">
        <v>4</v>
      </c>
      <c r="D236" s="2">
        <v>80.0</v>
      </c>
      <c r="E236" s="2" t="s">
        <v>67</v>
      </c>
      <c r="F236" s="2">
        <v>0.8</v>
      </c>
      <c r="G236" s="2"/>
    </row>
    <row r="237" ht="14.25" customHeight="1">
      <c r="A237" s="2" t="s">
        <v>36</v>
      </c>
      <c r="B237" s="2">
        <v>40.0</v>
      </c>
      <c r="C237" s="2" t="s">
        <v>4</v>
      </c>
      <c r="D237" s="2"/>
      <c r="E237" s="2"/>
      <c r="F237" s="2" t="s">
        <v>182</v>
      </c>
      <c r="G237" s="2"/>
    </row>
    <row r="238" ht="14.25" customHeight="1"/>
    <row r="239" ht="14.25" customHeight="1">
      <c r="A239" s="12" t="s">
        <v>183</v>
      </c>
      <c r="B239" s="12"/>
      <c r="C239" s="12"/>
      <c r="D239" s="12"/>
      <c r="E239" s="12"/>
    </row>
    <row r="240" ht="14.25" customHeight="1">
      <c r="A240" s="12"/>
      <c r="B240" s="12"/>
      <c r="C240" s="12"/>
      <c r="D240" s="12"/>
      <c r="E240" s="12"/>
    </row>
    <row r="241" ht="14.25" customHeight="1">
      <c r="A241" s="12"/>
      <c r="B241" s="12"/>
      <c r="C241" s="12"/>
      <c r="D241" s="12"/>
      <c r="E241" s="12"/>
    </row>
    <row r="242" ht="14.25" customHeight="1">
      <c r="A242" s="12"/>
      <c r="B242" s="12"/>
      <c r="C242" s="12"/>
      <c r="D242" s="12"/>
      <c r="E242" s="12"/>
    </row>
    <row r="243" ht="14.25" customHeight="1">
      <c r="A243" s="12" t="s">
        <v>184</v>
      </c>
      <c r="B243" s="12"/>
      <c r="C243" s="12"/>
      <c r="D243" s="12"/>
      <c r="E243" s="12"/>
    </row>
    <row r="244" ht="14.25" customHeight="1">
      <c r="C244" s="7">
        <f>0.622*650/(101325-650)</f>
        <v>0.004015892724</v>
      </c>
      <c r="D244" s="7" t="s">
        <v>185</v>
      </c>
      <c r="E244" s="7">
        <f>C244*1000</f>
        <v>4.015892724</v>
      </c>
      <c r="F244" s="7" t="s">
        <v>186</v>
      </c>
    </row>
    <row r="245" ht="14.25" customHeight="1"/>
    <row r="246" ht="14.25" customHeight="1">
      <c r="A246" s="7" t="s">
        <v>187</v>
      </c>
    </row>
    <row r="247" ht="14.25" customHeight="1"/>
    <row r="248" ht="14.25" customHeight="1">
      <c r="A248" s="7" t="s">
        <v>188</v>
      </c>
    </row>
    <row r="249" ht="14.25" customHeight="1">
      <c r="D249" s="6">
        <f>B236+C244*(2500+1.9*B236)</f>
        <v>14.07025259</v>
      </c>
      <c r="E249" s="7" t="s">
        <v>189</v>
      </c>
    </row>
    <row r="250" ht="14.25" customHeight="1">
      <c r="D250" s="6">
        <f>B237+C244*(2500+1.9*B237)</f>
        <v>50.34493966</v>
      </c>
      <c r="E250" s="7" t="s">
        <v>189</v>
      </c>
    </row>
    <row r="251" ht="14.25" customHeight="1"/>
    <row r="252" ht="14.25" customHeight="1">
      <c r="A252" s="7" t="s">
        <v>190</v>
      </c>
    </row>
    <row r="253" ht="14.25" customHeight="1">
      <c r="A253" s="7" t="s">
        <v>191</v>
      </c>
    </row>
    <row r="254" ht="14.25" customHeight="1">
      <c r="B254" s="6">
        <f>1.2*B235/3600*(D250-D249)</f>
        <v>3.022890589</v>
      </c>
      <c r="C254" s="7" t="s">
        <v>74</v>
      </c>
    </row>
    <row r="255" ht="14.25" customHeight="1">
      <c r="A255" s="7" t="s">
        <v>192</v>
      </c>
    </row>
    <row r="256" ht="14.25" customHeight="1">
      <c r="B256" s="7">
        <f>1.2*B235/3600*1*(B237-B236)</f>
        <v>3</v>
      </c>
      <c r="C256" s="7" t="s">
        <v>74</v>
      </c>
      <c r="D256" s="7" t="s">
        <v>193</v>
      </c>
    </row>
    <row r="257" ht="14.25" customHeight="1"/>
    <row r="258" ht="14.25" customHeight="1"/>
    <row r="259" ht="14.25" customHeight="1">
      <c r="A259" s="1" t="s">
        <v>194</v>
      </c>
    </row>
    <row r="260" ht="14.25" customHeight="1">
      <c r="A260" s="1" t="s">
        <v>195</v>
      </c>
    </row>
    <row r="261" ht="14.25" customHeight="1">
      <c r="A261" s="1" t="s">
        <v>196</v>
      </c>
    </row>
    <row r="262" ht="14.25" customHeight="1">
      <c r="A262" s="1" t="s">
        <v>197</v>
      </c>
    </row>
    <row r="263" ht="14.25" customHeight="1">
      <c r="A263" s="1" t="s">
        <v>198</v>
      </c>
    </row>
    <row r="264" ht="14.25" customHeight="1"/>
    <row r="265" ht="14.25" customHeight="1">
      <c r="A265" s="2" t="s">
        <v>122</v>
      </c>
      <c r="B265" s="2">
        <v>11.0</v>
      </c>
      <c r="C265" s="2" t="s">
        <v>199</v>
      </c>
      <c r="D265" s="4">
        <f>1.2*B265/60</f>
        <v>0.22</v>
      </c>
      <c r="E265" s="2" t="s">
        <v>72</v>
      </c>
    </row>
    <row r="266" ht="14.25" customHeight="1">
      <c r="A266" s="2" t="s">
        <v>36</v>
      </c>
      <c r="B266" s="2">
        <v>30.0</v>
      </c>
      <c r="C266" s="2" t="s">
        <v>4</v>
      </c>
      <c r="D266" s="2">
        <v>70.0</v>
      </c>
      <c r="E266" s="2" t="s">
        <v>67</v>
      </c>
    </row>
    <row r="267" ht="14.25" customHeight="1">
      <c r="A267" s="2" t="s">
        <v>200</v>
      </c>
      <c r="B267" s="2">
        <v>-12000.0</v>
      </c>
      <c r="C267" s="2" t="s">
        <v>201</v>
      </c>
      <c r="D267" s="5">
        <f>B267/2.9397</f>
        <v>-4082.049189</v>
      </c>
      <c r="E267" s="2" t="s">
        <v>155</v>
      </c>
      <c r="F267" s="3">
        <f>D267/1000</f>
        <v>-4.082049189</v>
      </c>
      <c r="G267" s="2" t="s">
        <v>74</v>
      </c>
    </row>
    <row r="268" ht="14.25" customHeight="1"/>
    <row r="269" ht="14.25" customHeight="1">
      <c r="A269" s="12" t="s">
        <v>202</v>
      </c>
      <c r="B269" s="12"/>
      <c r="C269" s="12"/>
      <c r="D269" s="12"/>
      <c r="E269" s="12"/>
      <c r="F269" s="12"/>
      <c r="G269" s="12"/>
      <c r="H269" s="12"/>
      <c r="I269" s="12"/>
    </row>
    <row r="270" ht="14.25" customHeight="1">
      <c r="A270" s="12" t="s">
        <v>203</v>
      </c>
      <c r="B270" s="12"/>
      <c r="C270" s="12"/>
      <c r="D270" s="12"/>
      <c r="E270" s="12"/>
      <c r="F270" s="12"/>
      <c r="G270" s="12"/>
      <c r="H270" s="12"/>
      <c r="I270" s="12"/>
    </row>
    <row r="271" ht="14.25" customHeight="1">
      <c r="A271" s="12" t="s">
        <v>204</v>
      </c>
      <c r="B271" s="12"/>
      <c r="C271" s="12"/>
      <c r="D271" s="12"/>
      <c r="E271" s="12"/>
      <c r="F271" s="12"/>
      <c r="G271" s="12"/>
      <c r="H271" s="12"/>
      <c r="I271" s="12"/>
    </row>
    <row r="272" ht="14.25" customHeight="1">
      <c r="A272" s="12"/>
      <c r="B272" s="12"/>
      <c r="C272" s="12"/>
      <c r="D272" s="12"/>
      <c r="E272" s="12"/>
      <c r="F272" s="12"/>
      <c r="G272" s="12"/>
      <c r="H272" s="12"/>
      <c r="I272" s="12"/>
    </row>
    <row r="273" ht="14.25" customHeight="1">
      <c r="A273" s="12"/>
      <c r="B273" s="12"/>
      <c r="C273" s="12">
        <v>4240.0</v>
      </c>
      <c r="D273" s="12" t="s">
        <v>205</v>
      </c>
      <c r="E273" s="12"/>
      <c r="F273" s="12"/>
      <c r="G273" s="12"/>
      <c r="H273" s="12"/>
      <c r="I273" s="12"/>
    </row>
    <row r="274" ht="14.25" customHeight="1">
      <c r="C274" s="7">
        <v>2968.0</v>
      </c>
      <c r="D274" s="7" t="s">
        <v>205</v>
      </c>
    </row>
    <row r="275" ht="14.25" customHeight="1"/>
    <row r="276" ht="14.25" customHeight="1">
      <c r="C276" s="7">
        <v>0.0188</v>
      </c>
      <c r="D276" s="7" t="s">
        <v>185</v>
      </c>
      <c r="E276" s="7">
        <f>C276*1000</f>
        <v>18.8</v>
      </c>
      <c r="F276" s="7" t="s">
        <v>206</v>
      </c>
    </row>
    <row r="277" ht="14.25" customHeight="1"/>
    <row r="278" ht="14.25" customHeight="1">
      <c r="A278" s="7" t="s">
        <v>207</v>
      </c>
    </row>
    <row r="279" ht="14.25" customHeight="1">
      <c r="C279" s="7">
        <v>78.1</v>
      </c>
      <c r="D279" s="7" t="s">
        <v>208</v>
      </c>
    </row>
    <row r="280" ht="14.25" customHeight="1">
      <c r="A280" s="7" t="s">
        <v>209</v>
      </c>
    </row>
    <row r="281" ht="14.25" customHeight="1">
      <c r="A281" s="7" t="s">
        <v>210</v>
      </c>
    </row>
    <row r="282" ht="14.25" customHeight="1">
      <c r="D282" s="6">
        <f>F267/D265+C279</f>
        <v>59.54523096</v>
      </c>
      <c r="E282" s="7" t="s">
        <v>208</v>
      </c>
      <c r="F282" s="7" t="s">
        <v>211</v>
      </c>
    </row>
    <row r="283" ht="14.25" customHeight="1"/>
    <row r="284" ht="14.25" customHeight="1">
      <c r="A284" s="7" t="s">
        <v>212</v>
      </c>
    </row>
    <row r="285" ht="14.25" customHeight="1">
      <c r="A285" s="7" t="s">
        <v>213</v>
      </c>
    </row>
    <row r="286" ht="14.25" customHeight="1">
      <c r="A286" s="7" t="s">
        <v>214</v>
      </c>
      <c r="C286" s="7" t="s">
        <v>215</v>
      </c>
      <c r="D286" s="7">
        <v>21.0</v>
      </c>
      <c r="E286" s="7" t="s">
        <v>4</v>
      </c>
    </row>
    <row r="287" ht="14.25" customHeight="1">
      <c r="A287" s="7" t="s">
        <v>216</v>
      </c>
    </row>
    <row r="288" ht="14.25" customHeight="1"/>
    <row r="289" ht="14.25" customHeight="1">
      <c r="A289" s="7" t="s">
        <v>217</v>
      </c>
      <c r="F289" s="7">
        <f>15.5</f>
        <v>15.5</v>
      </c>
      <c r="G289" s="7" t="s">
        <v>218</v>
      </c>
    </row>
    <row r="290" ht="14.25" customHeight="1"/>
    <row r="291" ht="14.25" customHeight="1">
      <c r="A291" s="7" t="s">
        <v>219</v>
      </c>
      <c r="F291" s="7">
        <f>D265*(F289-E276)/1000</f>
        <v>-0.000726</v>
      </c>
      <c r="G291" s="7" t="s">
        <v>72</v>
      </c>
      <c r="H291" s="6">
        <f>F291*3600</f>
        <v>-2.6136</v>
      </c>
      <c r="I291" s="7" t="s">
        <v>220</v>
      </c>
    </row>
    <row r="292" ht="14.25" customHeight="1">
      <c r="D292" s="27" t="s">
        <v>221</v>
      </c>
    </row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</sheetData>
  <printOptions/>
  <pageMargins bottom="0.75" footer="0.0" header="0.0" left="0.7" right="0.7" top="0.7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1" t="s">
        <v>194</v>
      </c>
    </row>
    <row r="2" ht="14.25" customHeight="1">
      <c r="A2" s="1" t="s">
        <v>195</v>
      </c>
    </row>
    <row r="3" ht="14.25" customHeight="1">
      <c r="A3" s="1" t="s">
        <v>196</v>
      </c>
    </row>
    <row r="4" ht="14.25" customHeight="1">
      <c r="A4" s="1" t="s">
        <v>197</v>
      </c>
    </row>
    <row r="5" ht="14.25" customHeight="1">
      <c r="A5" s="1" t="s">
        <v>198</v>
      </c>
    </row>
    <row r="6" ht="14.25" customHeight="1"/>
    <row r="7" ht="14.25" customHeight="1">
      <c r="A7" s="2" t="s">
        <v>122</v>
      </c>
      <c r="B7" s="2">
        <v>11.0</v>
      </c>
      <c r="C7" s="2" t="s">
        <v>199</v>
      </c>
      <c r="D7" s="4">
        <f>1.2*B7/60</f>
        <v>0.22</v>
      </c>
      <c r="E7" s="2" t="s">
        <v>72</v>
      </c>
    </row>
    <row r="8" ht="14.25" customHeight="1">
      <c r="A8" s="2" t="s">
        <v>36</v>
      </c>
      <c r="B8" s="2">
        <v>30.0</v>
      </c>
      <c r="C8" s="2" t="s">
        <v>4</v>
      </c>
      <c r="D8" s="2">
        <v>70.0</v>
      </c>
      <c r="E8" s="2" t="s">
        <v>67</v>
      </c>
    </row>
    <row r="9" ht="14.25" customHeight="1">
      <c r="A9" s="2" t="s">
        <v>200</v>
      </c>
      <c r="B9" s="2">
        <v>-12000.0</v>
      </c>
      <c r="C9" s="2" t="s">
        <v>201</v>
      </c>
      <c r="D9" s="5">
        <f>B9/2.9397</f>
        <v>-4082.049189</v>
      </c>
      <c r="E9" s="2" t="s">
        <v>155</v>
      </c>
      <c r="F9" s="3">
        <f>D9/1000</f>
        <v>-4.082049189</v>
      </c>
      <c r="G9" s="2" t="s">
        <v>74</v>
      </c>
    </row>
    <row r="10" ht="14.25" customHeight="1"/>
    <row r="11" ht="14.25" customHeight="1">
      <c r="A11" s="12" t="s">
        <v>202</v>
      </c>
      <c r="B11" s="12"/>
      <c r="C11" s="12"/>
      <c r="D11" s="12"/>
      <c r="E11" s="12"/>
      <c r="F11" s="12"/>
      <c r="G11" s="12"/>
      <c r="H11" s="12"/>
      <c r="I11" s="12"/>
    </row>
    <row r="12" ht="14.25" customHeight="1">
      <c r="A12" s="12" t="s">
        <v>203</v>
      </c>
      <c r="B12" s="12"/>
      <c r="C12" s="12"/>
      <c r="D12" s="12"/>
      <c r="E12" s="12"/>
      <c r="F12" s="12"/>
      <c r="G12" s="12"/>
      <c r="H12" s="12"/>
      <c r="I12" s="12"/>
    </row>
    <row r="13" ht="14.25" customHeight="1">
      <c r="A13" s="12" t="s">
        <v>204</v>
      </c>
      <c r="B13" s="12"/>
      <c r="C13" s="12"/>
      <c r="D13" s="12"/>
      <c r="E13" s="12"/>
      <c r="F13" s="12"/>
      <c r="G13" s="12"/>
      <c r="H13" s="12"/>
      <c r="I13" s="12"/>
    </row>
    <row r="14" ht="14.25" customHeight="1">
      <c r="A14" s="12"/>
      <c r="B14" s="12"/>
      <c r="C14" s="12"/>
      <c r="D14" s="12"/>
      <c r="E14" s="12"/>
      <c r="F14" s="12"/>
      <c r="G14" s="12"/>
      <c r="H14" s="12"/>
      <c r="I14" s="12"/>
    </row>
    <row r="15" ht="14.25" customHeight="1">
      <c r="A15" s="12"/>
      <c r="B15" s="12"/>
      <c r="C15" s="12">
        <v>4240.0</v>
      </c>
      <c r="D15" s="12" t="s">
        <v>205</v>
      </c>
      <c r="E15" s="12"/>
      <c r="F15" s="12"/>
      <c r="G15" s="12"/>
      <c r="H15" s="12"/>
      <c r="I15" s="12"/>
    </row>
    <row r="16" ht="14.25" customHeight="1">
      <c r="C16" s="7">
        <v>2968.0</v>
      </c>
      <c r="D16" s="7" t="s">
        <v>205</v>
      </c>
    </row>
    <row r="17" ht="14.25" customHeight="1"/>
    <row r="18" ht="14.25" customHeight="1">
      <c r="C18" s="7">
        <v>0.0188</v>
      </c>
      <c r="D18" s="7" t="s">
        <v>185</v>
      </c>
      <c r="E18" s="7">
        <f>C18*1000</f>
        <v>18.8</v>
      </c>
      <c r="F18" s="7" t="s">
        <v>206</v>
      </c>
    </row>
    <row r="19" ht="14.25" customHeight="1"/>
    <row r="20" ht="14.25" customHeight="1">
      <c r="A20" s="7" t="s">
        <v>207</v>
      </c>
    </row>
    <row r="21" ht="14.25" customHeight="1">
      <c r="C21" s="7">
        <v>78.1</v>
      </c>
      <c r="D21" s="7" t="s">
        <v>208</v>
      </c>
    </row>
    <row r="22" ht="14.25" customHeight="1"/>
    <row r="23" ht="14.25" customHeight="1">
      <c r="A23" s="7" t="s">
        <v>209</v>
      </c>
    </row>
    <row r="24" ht="14.25" customHeight="1">
      <c r="A24" s="7" t="s">
        <v>210</v>
      </c>
    </row>
    <row r="25" ht="14.25" customHeight="1">
      <c r="D25" s="6">
        <f>F9/D7+C21</f>
        <v>59.54523096</v>
      </c>
      <c r="E25" s="7" t="s">
        <v>208</v>
      </c>
      <c r="F25" s="7" t="s">
        <v>211</v>
      </c>
    </row>
    <row r="26" ht="14.25" customHeight="1"/>
    <row r="27" ht="14.25" customHeight="1">
      <c r="A27" s="7" t="s">
        <v>212</v>
      </c>
    </row>
    <row r="28" ht="14.25" customHeight="1">
      <c r="A28" s="7" t="s">
        <v>213</v>
      </c>
    </row>
    <row r="29" ht="14.25" customHeight="1">
      <c r="A29" s="7" t="s">
        <v>214</v>
      </c>
      <c r="C29" s="7" t="s">
        <v>215</v>
      </c>
      <c r="D29" s="7">
        <v>21.0</v>
      </c>
      <c r="E29" s="7" t="s">
        <v>4</v>
      </c>
    </row>
    <row r="30" ht="14.25" customHeight="1">
      <c r="A30" s="7" t="s">
        <v>216</v>
      </c>
    </row>
    <row r="31" ht="14.25" customHeight="1"/>
    <row r="32" ht="14.25" customHeight="1">
      <c r="A32" s="7" t="s">
        <v>217</v>
      </c>
      <c r="F32" s="7">
        <f>15.5</f>
        <v>15.5</v>
      </c>
      <c r="G32" s="7" t="s">
        <v>218</v>
      </c>
    </row>
    <row r="33" ht="14.25" customHeight="1"/>
    <row r="34" ht="14.25" customHeight="1">
      <c r="A34" s="7" t="s">
        <v>219</v>
      </c>
      <c r="F34" s="7">
        <f>D7*(F32-E18)/1000</f>
        <v>-0.000726</v>
      </c>
      <c r="G34" s="7" t="s">
        <v>72</v>
      </c>
      <c r="H34" s="6">
        <f>F34*3600</f>
        <v>-2.6136</v>
      </c>
      <c r="I34" s="7" t="s">
        <v>220</v>
      </c>
    </row>
    <row r="35" ht="14.25" customHeight="1">
      <c r="D35" s="27" t="s">
        <v>221</v>
      </c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1" t="s">
        <v>179</v>
      </c>
    </row>
    <row r="2" ht="14.25" customHeight="1">
      <c r="A2" s="1" t="s">
        <v>180</v>
      </c>
    </row>
    <row r="3" ht="14.25" customHeight="1">
      <c r="A3" s="2" t="s">
        <v>122</v>
      </c>
      <c r="B3" s="2">
        <v>250.0</v>
      </c>
      <c r="C3" s="2" t="s">
        <v>66</v>
      </c>
      <c r="D3" s="4">
        <f>1.2*B3/3600</f>
        <v>0.08333333333</v>
      </c>
      <c r="E3" s="2" t="s">
        <v>72</v>
      </c>
    </row>
    <row r="4" ht="14.25" customHeight="1">
      <c r="A4" s="2" t="s">
        <v>181</v>
      </c>
      <c r="B4" s="2">
        <v>4.0</v>
      </c>
      <c r="C4" s="2" t="s">
        <v>4</v>
      </c>
      <c r="D4" s="2">
        <v>80.0</v>
      </c>
      <c r="E4" s="2" t="s">
        <v>67</v>
      </c>
      <c r="F4" s="2">
        <v>0.8</v>
      </c>
      <c r="G4" s="2"/>
    </row>
    <row r="5" ht="14.25" customHeight="1">
      <c r="A5" s="2" t="s">
        <v>36</v>
      </c>
      <c r="B5" s="2">
        <v>40.0</v>
      </c>
      <c r="C5" s="2" t="s">
        <v>4</v>
      </c>
      <c r="D5" s="2"/>
      <c r="E5" s="2"/>
      <c r="F5" s="2" t="s">
        <v>182</v>
      </c>
      <c r="G5" s="2"/>
    </row>
    <row r="6" ht="14.25" customHeight="1"/>
    <row r="7" ht="14.25" customHeight="1">
      <c r="A7" s="12" t="s">
        <v>183</v>
      </c>
      <c r="B7" s="12"/>
      <c r="C7" s="12"/>
      <c r="D7" s="12"/>
      <c r="E7" s="12"/>
    </row>
    <row r="8" ht="14.25" customHeight="1">
      <c r="A8" s="12"/>
      <c r="B8" s="12"/>
      <c r="C8" s="12"/>
      <c r="D8" s="12"/>
      <c r="E8" s="12"/>
    </row>
    <row r="9" ht="14.25" customHeight="1">
      <c r="A9" s="12"/>
      <c r="B9" s="12"/>
      <c r="C9" s="12"/>
      <c r="D9" s="12"/>
      <c r="E9" s="12"/>
    </row>
    <row r="10" ht="14.25" customHeight="1">
      <c r="A10" s="12"/>
      <c r="B10" s="12"/>
      <c r="C10" s="12"/>
      <c r="D10" s="12"/>
      <c r="E10" s="12"/>
    </row>
    <row r="11" ht="14.25" customHeight="1">
      <c r="A11" s="12" t="s">
        <v>184</v>
      </c>
      <c r="B11" s="12"/>
      <c r="C11" s="12"/>
      <c r="D11" s="12"/>
      <c r="E11" s="12"/>
    </row>
    <row r="12" ht="14.25" customHeight="1">
      <c r="C12" s="7">
        <f>0.622*650/(101325-650)</f>
        <v>0.004015892724</v>
      </c>
      <c r="D12" s="7" t="s">
        <v>185</v>
      </c>
      <c r="E12" s="7">
        <f>C12*1000</f>
        <v>4.015892724</v>
      </c>
      <c r="F12" s="7" t="s">
        <v>186</v>
      </c>
    </row>
    <row r="13" ht="14.25" customHeight="1"/>
    <row r="14" ht="14.25" customHeight="1">
      <c r="A14" s="7" t="s">
        <v>187</v>
      </c>
    </row>
    <row r="15" ht="14.25" customHeight="1"/>
    <row r="16" ht="14.25" customHeight="1">
      <c r="A16" s="7" t="s">
        <v>188</v>
      </c>
    </row>
    <row r="17" ht="14.25" customHeight="1">
      <c r="D17" s="6">
        <f>B4+C12*(2500+1.9*B4)</f>
        <v>14.07025259</v>
      </c>
      <c r="E17" s="7" t="s">
        <v>189</v>
      </c>
    </row>
    <row r="18" ht="14.25" customHeight="1">
      <c r="D18" s="6">
        <f>B5+C12*(2500+1.9*B5)</f>
        <v>50.34493966</v>
      </c>
      <c r="E18" s="7" t="s">
        <v>189</v>
      </c>
    </row>
    <row r="19" ht="14.25" customHeight="1"/>
    <row r="20" ht="14.25" customHeight="1">
      <c r="A20" s="7" t="s">
        <v>190</v>
      </c>
    </row>
    <row r="21" ht="14.25" customHeight="1">
      <c r="A21" s="7" t="s">
        <v>191</v>
      </c>
    </row>
    <row r="22" ht="14.25" customHeight="1">
      <c r="B22" s="6">
        <f>1.2*B3/3600*(D18-D17)</f>
        <v>3.022890589</v>
      </c>
      <c r="C22" s="7" t="s">
        <v>74</v>
      </c>
    </row>
    <row r="23" ht="14.25" customHeight="1">
      <c r="A23" s="7" t="s">
        <v>192</v>
      </c>
    </row>
    <row r="24" ht="14.25" customHeight="1">
      <c r="B24" s="7">
        <f>1.2*B3/3600*1*(B5-B4)</f>
        <v>3</v>
      </c>
      <c r="C24" s="7" t="s">
        <v>74</v>
      </c>
      <c r="D24" s="7" t="s">
        <v>193</v>
      </c>
    </row>
    <row r="25" ht="14.25" customHeight="1"/>
    <row r="26" ht="14.25" customHeight="1"/>
    <row r="27" ht="14.25" customHeight="1">
      <c r="A27" s="1"/>
    </row>
    <row r="28" ht="14.25" customHeight="1">
      <c r="A28" s="1"/>
    </row>
    <row r="29" ht="14.25" customHeight="1">
      <c r="A29" s="1"/>
    </row>
    <row r="30" ht="14.25" customHeight="1">
      <c r="A30" s="1"/>
    </row>
    <row r="31" ht="14.25" customHeight="1">
      <c r="A31" s="1"/>
    </row>
    <row r="32" ht="14.25" customHeight="1"/>
    <row r="33" ht="14.25" customHeight="1">
      <c r="A33" s="2"/>
      <c r="B33" s="2"/>
      <c r="C33" s="2"/>
      <c r="D33" s="4"/>
      <c r="E33" s="2"/>
    </row>
    <row r="34" ht="14.25" customHeight="1">
      <c r="A34" s="2"/>
      <c r="B34" s="2"/>
      <c r="C34" s="2"/>
      <c r="D34" s="2"/>
      <c r="E34" s="2"/>
    </row>
    <row r="35" ht="14.25" customHeight="1">
      <c r="A35" s="2"/>
      <c r="B35" s="2"/>
      <c r="C35" s="2"/>
      <c r="D35" s="5"/>
      <c r="E35" s="2"/>
      <c r="F35" s="3"/>
      <c r="G35" s="2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28" t="s">
        <v>222</v>
      </c>
    </row>
    <row r="2" ht="14.25" customHeight="1">
      <c r="A2" s="7" t="s">
        <v>223</v>
      </c>
    </row>
    <row r="3" ht="14.25" customHeight="1">
      <c r="A3" s="7" t="s">
        <v>224</v>
      </c>
    </row>
    <row r="4" ht="14.25" customHeight="1"/>
    <row r="5" ht="14.25" customHeight="1">
      <c r="A5" s="7" t="s">
        <v>225</v>
      </c>
    </row>
    <row r="6" ht="14.25" customHeight="1">
      <c r="A6" s="7" t="s">
        <v>226</v>
      </c>
    </row>
    <row r="7" ht="14.25" customHeight="1">
      <c r="A7" s="7" t="s">
        <v>227</v>
      </c>
    </row>
    <row r="8" ht="14.25" customHeight="1">
      <c r="A8" s="7" t="s">
        <v>228</v>
      </c>
    </row>
    <row r="9" ht="14.25" customHeight="1"/>
    <row r="10" ht="14.25" customHeight="1">
      <c r="A10" s="7" t="s">
        <v>229</v>
      </c>
      <c r="B10" s="7">
        <v>25.0</v>
      </c>
      <c r="C10" s="7" t="s">
        <v>230</v>
      </c>
    </row>
    <row r="11" ht="14.25" customHeight="1">
      <c r="A11" s="7" t="s">
        <v>231</v>
      </c>
      <c r="B11" s="7">
        <v>19.0</v>
      </c>
      <c r="C11" s="7" t="s">
        <v>230</v>
      </c>
    </row>
    <row r="12" ht="14.25" customHeight="1">
      <c r="A12" s="7" t="s">
        <v>232</v>
      </c>
      <c r="B12" s="7">
        <v>2.0</v>
      </c>
      <c r="C12" s="7" t="s">
        <v>233</v>
      </c>
    </row>
    <row r="13" ht="14.25" customHeight="1">
      <c r="A13" s="7" t="s">
        <v>234</v>
      </c>
      <c r="B13" s="7">
        <v>14.0</v>
      </c>
      <c r="C13" s="7" t="s">
        <v>235</v>
      </c>
    </row>
    <row r="14" ht="14.25" customHeight="1">
      <c r="A14" s="7" t="s">
        <v>236</v>
      </c>
      <c r="B14" s="7">
        <v>3.0</v>
      </c>
    </row>
    <row r="15" ht="14.25" customHeight="1"/>
    <row r="16" ht="14.25" customHeight="1">
      <c r="A16" s="7" t="s">
        <v>237</v>
      </c>
    </row>
    <row r="17" ht="14.25" customHeight="1">
      <c r="A17" s="7" t="s">
        <v>238</v>
      </c>
    </row>
    <row r="18" ht="14.25" customHeight="1">
      <c r="A18" s="7" t="s">
        <v>239</v>
      </c>
    </row>
    <row r="19" ht="14.25" customHeight="1">
      <c r="A19" s="7" t="s">
        <v>240</v>
      </c>
    </row>
    <row r="20" ht="14.25" customHeight="1">
      <c r="A20" s="7" t="s">
        <v>241</v>
      </c>
    </row>
    <row r="21" ht="14.25" customHeight="1"/>
    <row r="22" ht="14.25" customHeight="1">
      <c r="A22" s="7" t="s">
        <v>242</v>
      </c>
      <c r="B22" s="7">
        <f>0.17</f>
        <v>0.17</v>
      </c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6.88"/>
  </cols>
  <sheetData>
    <row r="1">
      <c r="A1" s="29" t="s">
        <v>243</v>
      </c>
    </row>
    <row r="2">
      <c r="A2" s="29" t="s">
        <v>244</v>
      </c>
    </row>
    <row r="3">
      <c r="A3" s="17" t="s">
        <v>245</v>
      </c>
      <c r="B3" s="17">
        <v>3.0</v>
      </c>
      <c r="C3" s="30">
        <f>3/1000</f>
        <v>0.003</v>
      </c>
      <c r="D3" s="17" t="s">
        <v>246</v>
      </c>
    </row>
    <row r="4">
      <c r="A4" s="31"/>
    </row>
    <row r="5">
      <c r="A5" s="31" t="s">
        <v>247</v>
      </c>
    </row>
    <row r="6">
      <c r="A6" s="18" t="s">
        <v>248</v>
      </c>
    </row>
    <row r="7">
      <c r="A7" s="18" t="s">
        <v>249</v>
      </c>
    </row>
    <row r="8">
      <c r="A8" s="18" t="s">
        <v>250</v>
      </c>
    </row>
    <row r="9">
      <c r="A9" s="18" t="s">
        <v>251</v>
      </c>
    </row>
    <row r="10">
      <c r="A10" s="18" t="s">
        <v>252</v>
      </c>
      <c r="B10" s="32" t="s">
        <v>253</v>
      </c>
      <c r="C10" s="33">
        <v>90.0</v>
      </c>
      <c r="D10" s="34">
        <f>C10/100</f>
        <v>0.9</v>
      </c>
    </row>
    <row r="11">
      <c r="B11" s="32" t="s">
        <v>254</v>
      </c>
      <c r="C11" s="33">
        <v>10.0</v>
      </c>
      <c r="D11" s="34">
        <f>C11/10000</f>
        <v>0.001</v>
      </c>
    </row>
    <row r="22">
      <c r="A22" s="18" t="s">
        <v>255</v>
      </c>
    </row>
    <row r="23">
      <c r="C23" s="24">
        <f>(C11/1000)*101325/(0.622+C11/1000)/(C10/100)</f>
        <v>1781.381857</v>
      </c>
      <c r="D23" s="18" t="s">
        <v>205</v>
      </c>
    </row>
    <row r="27">
      <c r="C27" s="7">
        <f>15.7</f>
        <v>15.7</v>
      </c>
      <c r="D27" s="18" t="s">
        <v>4</v>
      </c>
    </row>
    <row r="30">
      <c r="A30" s="18" t="s">
        <v>256</v>
      </c>
    </row>
    <row r="31">
      <c r="C31" s="22">
        <f>C27+(C11/1000)*(2500+1.9*C27)</f>
        <v>40.9983</v>
      </c>
      <c r="D31" s="18" t="s">
        <v>257</v>
      </c>
    </row>
    <row r="33">
      <c r="A33" s="18" t="s">
        <v>258</v>
      </c>
      <c r="E33" s="18" t="s">
        <v>259</v>
      </c>
    </row>
    <row r="34">
      <c r="C34" s="22">
        <f>(C31-2500*C3)/(1+1.9*C3)</f>
        <v>33.30844188</v>
      </c>
      <c r="D34" s="18" t="s">
        <v>4</v>
      </c>
      <c r="E34" s="18" t="s">
        <v>260</v>
      </c>
    </row>
    <row r="36">
      <c r="A36" s="18" t="s">
        <v>261</v>
      </c>
    </row>
    <row r="38">
      <c r="C38" s="7">
        <f>5121</f>
        <v>5121</v>
      </c>
      <c r="D38" s="18" t="s">
        <v>205</v>
      </c>
    </row>
    <row r="40">
      <c r="C40" s="35">
        <f>C3*101325/(0.622+C3)/C38</f>
        <v>0.09497363796</v>
      </c>
      <c r="D40" s="22">
        <f>C40*100</f>
        <v>9.497363796</v>
      </c>
      <c r="E40" s="18" t="s">
        <v>262</v>
      </c>
    </row>
    <row r="44">
      <c r="A44" s="31" t="s">
        <v>263</v>
      </c>
    </row>
    <row r="45">
      <c r="A45" s="18" t="s">
        <v>264</v>
      </c>
    </row>
    <row r="46">
      <c r="A46" s="18" t="s">
        <v>265</v>
      </c>
    </row>
    <row r="47">
      <c r="A47" s="18" t="s">
        <v>266</v>
      </c>
      <c r="B47" s="18">
        <v>15.7</v>
      </c>
      <c r="C47" s="18" t="s">
        <v>4</v>
      </c>
      <c r="D47" s="18" t="s">
        <v>267</v>
      </c>
    </row>
    <row r="48">
      <c r="A48" s="18" t="s">
        <v>268</v>
      </c>
    </row>
    <row r="51">
      <c r="A51" s="18" t="s">
        <v>269</v>
      </c>
      <c r="D51" s="18">
        <v>0.273</v>
      </c>
      <c r="E51" s="7">
        <f>D51*100</f>
        <v>27.3</v>
      </c>
      <c r="F51" s="18" t="s">
        <v>160</v>
      </c>
    </row>
    <row r="54">
      <c r="A54" s="18" t="s">
        <v>270</v>
      </c>
    </row>
  </sheetData>
  <drawing r:id="rId1"/>
</worksheet>
</file>